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em-cas\Downloads\"/>
    </mc:Choice>
  </mc:AlternateContent>
  <xr:revisionPtr revIDLastSave="0" documentId="8_{EA15E0A8-9DC1-496C-8342-FDCCDB99E6B1}" xr6:coauthVersionLast="47" xr6:coauthVersionMax="47" xr10:uidLastSave="{00000000-0000-0000-0000-000000000000}"/>
  <bookViews>
    <workbookView xWindow="-120" yWindow="-120" windowWidth="29040" windowHeight="15720" tabRatio="758" xr2:uid="{00000000-000D-0000-FFFF-FFFF00000000}"/>
  </bookViews>
  <sheets>
    <sheet name="Key figures by year, the Group" sheetId="2" r:id="rId1"/>
    <sheet name="Q Income statements, the Group" sheetId="6" r:id="rId2"/>
    <sheet name="Q Consolidated cash-flow" sheetId="4" r:id="rId3"/>
    <sheet name="Q Key figures Operating segm." sheetId="3" r:id="rId4"/>
    <sheet name="Q Sales geographic market" sheetId="5" r:id="rId5"/>
    <sheet name="Fullständig femårsöversikt webb" sheetId="1" state="hidden" r:id="rId6"/>
  </sheets>
  <definedNames>
    <definedName name="_xlnm.Print_Area" localSheetId="5">'Fullständig femårsöversikt webb'!$A$1:$F$107</definedName>
    <definedName name="_xlnm.Print_Area" localSheetId="0">'Key figures by year, the Group'!$A$1:$K$69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35" i="6" l="1"/>
  <c r="B19" i="6"/>
  <c r="B10" i="5" l="1"/>
  <c r="B41" i="3"/>
  <c r="B40" i="3"/>
  <c r="B33" i="3"/>
  <c r="B26" i="3"/>
  <c r="B19" i="3"/>
  <c r="B18" i="3"/>
  <c r="B10" i="3"/>
  <c r="B14" i="4"/>
  <c r="C14" i="4"/>
  <c r="B13" i="6"/>
  <c r="B16" i="6" s="1"/>
  <c r="B22" i="6" s="1"/>
  <c r="C10" i="5"/>
  <c r="C44" i="3"/>
  <c r="C42" i="3"/>
  <c r="C41" i="3"/>
  <c r="C43" i="3"/>
  <c r="C40" i="3"/>
  <c r="C33" i="3"/>
  <c r="C19" i="3"/>
  <c r="C18" i="3"/>
  <c r="C26" i="3"/>
  <c r="C10" i="3"/>
  <c r="C35" i="6" l="1"/>
  <c r="C13" i="6"/>
  <c r="C16" i="6" s="1"/>
  <c r="C19" i="6" s="1"/>
  <c r="D14" i="4"/>
  <c r="D40" i="3"/>
  <c r="D44" i="3"/>
  <c r="D43" i="3"/>
  <c r="D42" i="3"/>
  <c r="D41" i="3"/>
  <c r="D10" i="3"/>
  <c r="C22" i="6" l="1"/>
  <c r="D10" i="5"/>
  <c r="D33" i="3"/>
  <c r="D26" i="3"/>
  <c r="D19" i="3"/>
  <c r="D18" i="3"/>
  <c r="D13" i="6"/>
  <c r="D35" i="6" s="1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10" i="5"/>
  <c r="E42" i="3"/>
  <c r="E41" i="3"/>
  <c r="E44" i="3"/>
  <c r="E43" i="3"/>
  <c r="E40" i="3"/>
  <c r="E33" i="3"/>
  <c r="E19" i="3"/>
  <c r="E18" i="3"/>
  <c r="E26" i="3"/>
  <c r="E10" i="3"/>
  <c r="E14" i="4"/>
  <c r="E13" i="6"/>
  <c r="E16" i="6" s="1"/>
  <c r="E19" i="6" s="1"/>
  <c r="E22" i="6" s="1"/>
  <c r="F8" i="4"/>
  <c r="F7" i="4"/>
  <c r="G8" i="4"/>
  <c r="G7" i="4"/>
  <c r="F43" i="3"/>
  <c r="F41" i="3"/>
  <c r="F40" i="3"/>
  <c r="F14" i="4"/>
  <c r="D16" i="6" l="1"/>
  <c r="E35" i="6"/>
  <c r="F13" i="6"/>
  <c r="F16" i="6" s="1"/>
  <c r="F19" i="6" s="1"/>
  <c r="F22" i="6" s="1"/>
  <c r="F44" i="3"/>
  <c r="F42" i="3"/>
  <c r="F33" i="3"/>
  <c r="F26" i="3"/>
  <c r="F19" i="3"/>
  <c r="F18" i="3"/>
  <c r="F10" i="3"/>
  <c r="F10" i="5"/>
  <c r="G19" i="3"/>
  <c r="G44" i="3"/>
  <c r="G43" i="3"/>
  <c r="D19" i="6" l="1"/>
  <c r="D22" i="6" s="1"/>
  <c r="F35" i="6"/>
  <c r="G10" i="5"/>
  <c r="G42" i="3"/>
  <c r="G41" i="3"/>
  <c r="G40" i="3"/>
  <c r="G33" i="3"/>
  <c r="G18" i="3"/>
  <c r="G26" i="3"/>
  <c r="G10" i="3"/>
  <c r="G14" i="4"/>
  <c r="G13" i="6" l="1"/>
  <c r="G35" i="6" s="1"/>
  <c r="H10" i="5"/>
  <c r="H43" i="3"/>
  <c r="H44" i="3" s="1"/>
  <c r="H42" i="3"/>
  <c r="H41" i="3"/>
  <c r="H40" i="3"/>
  <c r="H33" i="3"/>
  <c r="H26" i="3"/>
  <c r="H18" i="3"/>
  <c r="H10" i="3"/>
  <c r="H14" i="4"/>
  <c r="H13" i="6"/>
  <c r="H35" i="6" s="1"/>
  <c r="I10" i="5"/>
  <c r="I43" i="3"/>
  <c r="I44" i="3" s="1"/>
  <c r="I42" i="3"/>
  <c r="I41" i="3"/>
  <c r="I40" i="3"/>
  <c r="I33" i="3"/>
  <c r="I18" i="3"/>
  <c r="I26" i="3"/>
  <c r="I10" i="3"/>
  <c r="I14" i="4"/>
  <c r="I13" i="6"/>
  <c r="I35" i="6" s="1"/>
  <c r="J14" i="4"/>
  <c r="J13" i="6"/>
  <c r="J35" i="6" s="1"/>
  <c r="J10" i="5"/>
  <c r="J10" i="3"/>
  <c r="J18" i="3"/>
  <c r="J26" i="3"/>
  <c r="J33" i="3"/>
  <c r="J43" i="3"/>
  <c r="J44" i="3" s="1"/>
  <c r="J42" i="3"/>
  <c r="J41" i="3"/>
  <c r="J40" i="3"/>
  <c r="K13" i="6"/>
  <c r="K35" i="6" s="1"/>
  <c r="K14" i="4"/>
  <c r="K33" i="3"/>
  <c r="K26" i="3"/>
  <c r="K18" i="3"/>
  <c r="K10" i="3"/>
  <c r="K10" i="5"/>
  <c r="K42" i="3"/>
  <c r="K43" i="3"/>
  <c r="K44" i="3" s="1"/>
  <c r="K41" i="3"/>
  <c r="K40" i="3"/>
  <c r="L14" i="4"/>
  <c r="L10" i="5"/>
  <c r="L43" i="3"/>
  <c r="L44" i="3" s="1"/>
  <c r="L42" i="3"/>
  <c r="L41" i="3"/>
  <c r="L40" i="3"/>
  <c r="L33" i="3"/>
  <c r="L26" i="3"/>
  <c r="L18" i="3"/>
  <c r="L10" i="3"/>
  <c r="G16" i="6" l="1"/>
  <c r="G19" i="6" s="1"/>
  <c r="G22" i="6" s="1"/>
  <c r="H16" i="6"/>
  <c r="H19" i="6" s="1"/>
  <c r="H22" i="6" s="1"/>
  <c r="I16" i="6"/>
  <c r="I19" i="6" s="1"/>
  <c r="I22" i="6" s="1"/>
  <c r="J16" i="6"/>
  <c r="J19" i="6" s="1"/>
  <c r="J22" i="6" s="1"/>
  <c r="K16" i="6"/>
  <c r="K19" i="6" s="1"/>
  <c r="K22" i="6" s="1"/>
  <c r="L13" i="6"/>
  <c r="L16" i="6" s="1"/>
  <c r="L19" i="6" s="1"/>
  <c r="L22" i="6" s="1"/>
  <c r="M10" i="5"/>
  <c r="M41" i="3"/>
  <c r="M43" i="3"/>
  <c r="M44" i="3" s="1"/>
  <c r="M42" i="3"/>
  <c r="M40" i="3"/>
  <c r="M33" i="3"/>
  <c r="M18" i="3"/>
  <c r="M26" i="3"/>
  <c r="M10" i="3"/>
  <c r="M14" i="4"/>
  <c r="M13" i="6"/>
  <c r="M16" i="6" s="1"/>
  <c r="M19" i="6" s="1"/>
  <c r="M22" i="6" s="1"/>
  <c r="P8" i="4"/>
  <c r="P7" i="4"/>
  <c r="N7" i="4"/>
  <c r="L35" i="6" l="1"/>
  <c r="M35" i="6"/>
  <c r="N6" i="4"/>
  <c r="E35" i="2"/>
  <c r="N10" i="5" l="1"/>
  <c r="N43" i="3"/>
  <c r="N44" i="3" s="1"/>
  <c r="N42" i="3"/>
  <c r="N41" i="3"/>
  <c r="N40" i="3"/>
  <c r="N33" i="3"/>
  <c r="N18" i="3"/>
  <c r="N26" i="3"/>
  <c r="N10" i="3"/>
  <c r="N14" i="4"/>
  <c r="N13" i="6" l="1"/>
  <c r="N16" i="6" s="1"/>
  <c r="N19" i="6" s="1"/>
  <c r="N22" i="6" s="1"/>
  <c r="N35" i="6" l="1"/>
  <c r="O10" i="5"/>
  <c r="O41" i="3"/>
  <c r="O33" i="3"/>
  <c r="O18" i="3"/>
  <c r="O26" i="3"/>
  <c r="O10" i="3"/>
  <c r="O9" i="4"/>
  <c r="O14" i="4" s="1"/>
  <c r="O13" i="6" l="1"/>
  <c r="O16" i="6" s="1"/>
  <c r="O19" i="6" s="1"/>
  <c r="O22" i="6" s="1"/>
  <c r="R42" i="3"/>
  <c r="R41" i="3"/>
  <c r="Q42" i="3"/>
  <c r="Q41" i="3"/>
  <c r="T42" i="3"/>
  <c r="T41" i="3"/>
  <c r="P41" i="3"/>
  <c r="O42" i="3"/>
  <c r="U42" i="3"/>
  <c r="S42" i="3"/>
  <c r="P42" i="3"/>
  <c r="U41" i="3"/>
  <c r="S41" i="3"/>
  <c r="O43" i="3"/>
  <c r="O44" i="3" s="1"/>
  <c r="O40" i="3"/>
  <c r="P10" i="5"/>
  <c r="P43" i="3"/>
  <c r="P44" i="3" s="1"/>
  <c r="P40" i="3"/>
  <c r="P33" i="3"/>
  <c r="P18" i="3"/>
  <c r="P26" i="3"/>
  <c r="P10" i="3"/>
  <c r="P9" i="4"/>
  <c r="P14" i="4" s="1"/>
  <c r="O35" i="6" l="1"/>
  <c r="P13" i="6"/>
  <c r="P16" i="6" s="1"/>
  <c r="P19" i="6" s="1"/>
  <c r="P22" i="6" s="1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H10" i="5"/>
  <c r="AI10" i="5"/>
  <c r="AJ10" i="5"/>
  <c r="AK10" i="5"/>
  <c r="Q10" i="5"/>
  <c r="Q43" i="3"/>
  <c r="Q44" i="3" s="1"/>
  <c r="Q40" i="3"/>
  <c r="Q33" i="3"/>
  <c r="Q26" i="3"/>
  <c r="Q18" i="3"/>
  <c r="Q10" i="3"/>
  <c r="Q35" i="6"/>
  <c r="R33" i="3"/>
  <c r="R26" i="3"/>
  <c r="R18" i="3"/>
  <c r="R10" i="3"/>
  <c r="R13" i="6"/>
  <c r="R35" i="6" s="1"/>
  <c r="P35" i="6" l="1"/>
  <c r="R16" i="6"/>
  <c r="R19" i="6" s="1"/>
  <c r="R43" i="3"/>
  <c r="R44" i="3" s="1"/>
  <c r="R40" i="3"/>
  <c r="S40" i="3"/>
  <c r="S43" i="3"/>
  <c r="S44" i="3" s="1"/>
  <c r="S33" i="3"/>
  <c r="S26" i="3"/>
  <c r="S18" i="3"/>
  <c r="S10" i="3"/>
  <c r="S13" i="6" l="1"/>
  <c r="S35" i="6" s="1"/>
  <c r="S16" i="6" l="1"/>
  <c r="S19" i="6" s="1"/>
  <c r="T43" i="3"/>
  <c r="T44" i="3" s="1"/>
  <c r="T40" i="3"/>
  <c r="T33" i="3"/>
  <c r="T26" i="3"/>
  <c r="T18" i="3"/>
  <c r="T10" i="3"/>
  <c r="AO27" i="6" l="1"/>
  <c r="AO26" i="6"/>
  <c r="AN27" i="6"/>
  <c r="AN26" i="6"/>
  <c r="AM27" i="6"/>
  <c r="AM26" i="6"/>
  <c r="AL27" i="6"/>
  <c r="AL26" i="6"/>
  <c r="AK27" i="6"/>
  <c r="AK26" i="6"/>
  <c r="AJ27" i="6"/>
  <c r="AJ26" i="6"/>
  <c r="AI27" i="6"/>
  <c r="AI26" i="6"/>
  <c r="AH27" i="6"/>
  <c r="AH26" i="6"/>
  <c r="AG27" i="6"/>
  <c r="AG26" i="6"/>
  <c r="AF27" i="6"/>
  <c r="AF26" i="6"/>
  <c r="AE27" i="6"/>
  <c r="AE26" i="6"/>
  <c r="AD27" i="6"/>
  <c r="AD26" i="6"/>
  <c r="AC27" i="6"/>
  <c r="AC26" i="6"/>
  <c r="AB27" i="6"/>
  <c r="AB26" i="6"/>
  <c r="AA27" i="6"/>
  <c r="AA26" i="6"/>
  <c r="Z27" i="6"/>
  <c r="Z26" i="6"/>
  <c r="Y27" i="6"/>
  <c r="Y26" i="6"/>
  <c r="X27" i="6"/>
  <c r="X26" i="6"/>
  <c r="W27" i="6"/>
  <c r="W26" i="6"/>
  <c r="V27" i="6"/>
  <c r="V26" i="6"/>
  <c r="U27" i="6"/>
  <c r="U26" i="6"/>
  <c r="T35" i="6"/>
  <c r="AO33" i="6"/>
  <c r="AO32" i="6"/>
  <c r="AO31" i="6"/>
  <c r="AO30" i="6"/>
  <c r="AN33" i="6"/>
  <c r="AN32" i="6"/>
  <c r="AN31" i="6"/>
  <c r="AN30" i="6"/>
  <c r="AM33" i="6"/>
  <c r="AM32" i="6"/>
  <c r="AM31" i="6"/>
  <c r="AM30" i="6"/>
  <c r="AL33" i="6"/>
  <c r="AL32" i="6"/>
  <c r="AL31" i="6"/>
  <c r="AL30" i="6"/>
  <c r="AK33" i="6"/>
  <c r="AK32" i="6"/>
  <c r="AK31" i="6"/>
  <c r="AK30" i="6"/>
  <c r="AJ33" i="6"/>
  <c r="AJ32" i="6"/>
  <c r="AJ31" i="6"/>
  <c r="AJ30" i="6"/>
  <c r="AI33" i="6"/>
  <c r="AI32" i="6"/>
  <c r="AI31" i="6"/>
  <c r="AI30" i="6"/>
  <c r="AH33" i="6"/>
  <c r="AH32" i="6"/>
  <c r="AH31" i="6"/>
  <c r="AH30" i="6"/>
  <c r="AG33" i="6"/>
  <c r="AG32" i="6"/>
  <c r="AG31" i="6"/>
  <c r="AG30" i="6"/>
  <c r="AF33" i="6"/>
  <c r="AF32" i="6"/>
  <c r="AF31" i="6"/>
  <c r="AF30" i="6"/>
  <c r="AD33" i="6"/>
  <c r="AD32" i="6"/>
  <c r="AD31" i="6"/>
  <c r="AD30" i="6"/>
  <c r="AE33" i="6"/>
  <c r="AE32" i="6"/>
  <c r="AE31" i="6"/>
  <c r="AE30" i="6"/>
  <c r="AC33" i="6"/>
  <c r="AC32" i="6"/>
  <c r="AC31" i="6"/>
  <c r="AC30" i="6"/>
  <c r="AB33" i="6"/>
  <c r="AB32" i="6"/>
  <c r="AB31" i="6"/>
  <c r="AB30" i="6"/>
  <c r="AA33" i="6"/>
  <c r="AA32" i="6"/>
  <c r="AA31" i="6"/>
  <c r="AA30" i="6"/>
  <c r="Z33" i="6"/>
  <c r="Z32" i="6"/>
  <c r="Z31" i="6"/>
  <c r="Z30" i="6"/>
  <c r="Y33" i="6"/>
  <c r="Y32" i="6"/>
  <c r="Y31" i="6"/>
  <c r="Y30" i="6"/>
  <c r="X33" i="6"/>
  <c r="X32" i="6"/>
  <c r="W33" i="6"/>
  <c r="W32" i="6"/>
  <c r="W31" i="6"/>
  <c r="X31" i="6"/>
  <c r="X30" i="6"/>
  <c r="W30" i="6"/>
  <c r="V33" i="6"/>
  <c r="V32" i="6"/>
  <c r="V31" i="6"/>
  <c r="V30" i="6"/>
  <c r="U33" i="6"/>
  <c r="U32" i="6"/>
  <c r="U31" i="6"/>
  <c r="U30" i="6"/>
  <c r="K57" i="2"/>
  <c r="K56" i="2"/>
  <c r="K55" i="2"/>
  <c r="J57" i="2"/>
  <c r="J56" i="2"/>
  <c r="J55" i="2"/>
  <c r="I57" i="2"/>
  <c r="I56" i="2"/>
  <c r="I55" i="2"/>
  <c r="H57" i="2"/>
  <c r="H56" i="2"/>
  <c r="H55" i="2"/>
  <c r="G57" i="2"/>
  <c r="G56" i="2"/>
  <c r="G55" i="2"/>
  <c r="K59" i="2"/>
  <c r="K58" i="2"/>
  <c r="J59" i="2"/>
  <c r="J58" i="2"/>
  <c r="I59" i="2"/>
  <c r="I58" i="2"/>
  <c r="H59" i="2"/>
  <c r="H58" i="2"/>
  <c r="G59" i="2"/>
  <c r="G58" i="2"/>
  <c r="G60" i="2"/>
  <c r="H60" i="2"/>
  <c r="I60" i="2"/>
  <c r="J60" i="2"/>
  <c r="K60" i="2"/>
  <c r="K54" i="2"/>
  <c r="J54" i="2"/>
  <c r="I54" i="2"/>
  <c r="H54" i="2"/>
  <c r="G54" i="2"/>
  <c r="K53" i="2"/>
  <c r="J53" i="2"/>
  <c r="I53" i="2"/>
  <c r="H53" i="2"/>
  <c r="G53" i="2"/>
  <c r="K52" i="2"/>
  <c r="J52" i="2"/>
  <c r="I52" i="2"/>
  <c r="H52" i="2"/>
  <c r="G52" i="2"/>
  <c r="K50" i="2"/>
  <c r="J50" i="2"/>
  <c r="I50" i="2"/>
  <c r="H50" i="2"/>
  <c r="G50" i="2"/>
  <c r="U43" i="3" l="1"/>
  <c r="U44" i="3" s="1"/>
  <c r="U40" i="3"/>
  <c r="U33" i="3" l="1"/>
  <c r="U18" i="3"/>
  <c r="U26" i="3"/>
  <c r="U10" i="3"/>
  <c r="V43" i="3"/>
  <c r="V44" i="3" s="1"/>
  <c r="V40" i="3"/>
  <c r="V35" i="3"/>
  <c r="V28" i="3"/>
  <c r="V21" i="3"/>
  <c r="V12" i="3"/>
  <c r="V10" i="3"/>
  <c r="V18" i="3"/>
  <c r="V26" i="3"/>
  <c r="V33" i="3"/>
  <c r="V9" i="4" l="1"/>
  <c r="V14" i="4" s="1"/>
  <c r="W43" i="3" l="1"/>
  <c r="W44" i="3" s="1"/>
  <c r="W40" i="3"/>
  <c r="W33" i="3"/>
  <c r="W26" i="3"/>
  <c r="W18" i="3"/>
  <c r="W10" i="3"/>
  <c r="W9" i="4"/>
  <c r="W14" i="4" s="1"/>
  <c r="W13" i="6"/>
  <c r="W35" i="6" s="1"/>
  <c r="W16" i="6" l="1"/>
  <c r="W19" i="6" s="1"/>
  <c r="W22" i="6" s="1"/>
  <c r="X43" i="3"/>
  <c r="X44" i="3" s="1"/>
  <c r="X40" i="3"/>
  <c r="X33" i="3"/>
  <c r="X18" i="3"/>
  <c r="X26" i="3"/>
  <c r="X10" i="3"/>
  <c r="X9" i="4" l="1"/>
  <c r="X14" i="4" s="1"/>
  <c r="X13" i="6"/>
  <c r="X16" i="6" s="1"/>
  <c r="X19" i="6" s="1"/>
  <c r="X22" i="6" s="1"/>
  <c r="X35" i="6" l="1"/>
  <c r="Y43" i="3"/>
  <c r="Y44" i="3" s="1"/>
  <c r="Y40" i="3"/>
  <c r="Y33" i="3"/>
  <c r="Y26" i="3"/>
  <c r="Y18" i="3"/>
  <c r="Y10" i="3"/>
  <c r="Y9" i="4"/>
  <c r="Y14" i="4" s="1"/>
  <c r="Z12" i="6"/>
  <c r="Z11" i="6"/>
  <c r="Y13" i="6" l="1"/>
  <c r="Y16" i="6" s="1"/>
  <c r="Y19" i="6" s="1"/>
  <c r="Y35" i="6" l="1"/>
  <c r="Z40" i="3"/>
  <c r="Z43" i="3"/>
  <c r="Z44" i="3" s="1"/>
  <c r="Z10" i="3"/>
  <c r="Z18" i="3"/>
  <c r="Z26" i="3"/>
  <c r="Z33" i="3"/>
  <c r="Z14" i="4"/>
  <c r="Z35" i="6"/>
  <c r="AA43" i="3" l="1"/>
  <c r="AA44" i="3" s="1"/>
  <c r="AA40" i="3"/>
  <c r="AA35" i="3"/>
  <c r="AA33" i="3"/>
  <c r="AA28" i="3"/>
  <c r="AA26" i="3"/>
  <c r="AA21" i="3"/>
  <c r="AA18" i="3"/>
  <c r="AA12" i="3"/>
  <c r="AA10" i="3"/>
  <c r="AA9" i="4" l="1"/>
  <c r="AA14" i="4" s="1"/>
  <c r="AA35" i="6"/>
  <c r="AB40" i="3" l="1"/>
  <c r="AB43" i="3"/>
  <c r="AB44" i="3" s="1"/>
  <c r="AB35" i="3"/>
  <c r="AB33" i="3"/>
  <c r="AB28" i="3"/>
  <c r="AB26" i="3"/>
  <c r="AB21" i="3"/>
  <c r="AB18" i="3"/>
  <c r="AB12" i="3"/>
  <c r="AB10" i="3"/>
  <c r="AB9" i="4"/>
  <c r="AB14" i="4" s="1"/>
  <c r="AB35" i="6" l="1"/>
  <c r="AC40" i="3" l="1"/>
  <c r="AC35" i="3" l="1"/>
  <c r="AC28" i="3"/>
  <c r="AC21" i="3"/>
  <c r="AC12" i="3"/>
  <c r="AC43" i="3"/>
  <c r="AC44" i="3" s="1"/>
  <c r="AC33" i="3"/>
  <c r="AC26" i="3"/>
  <c r="AC18" i="3"/>
  <c r="AC10" i="3"/>
  <c r="AK9" i="4"/>
  <c r="AK14" i="4" s="1"/>
  <c r="AJ9" i="4"/>
  <c r="AJ14" i="4" s="1"/>
  <c r="AI9" i="4"/>
  <c r="AI14" i="4" s="1"/>
  <c r="AH9" i="4"/>
  <c r="AH14" i="4" s="1"/>
  <c r="AG9" i="4"/>
  <c r="AG14" i="4" s="1"/>
  <c r="AF9" i="4"/>
  <c r="AF14" i="4" s="1"/>
  <c r="AE9" i="4"/>
  <c r="AE14" i="4" s="1"/>
  <c r="AD9" i="4"/>
  <c r="AD14" i="4" s="1"/>
  <c r="AC9" i="4"/>
  <c r="AC14" i="4" s="1"/>
  <c r="AC35" i="6"/>
  <c r="AD35" i="6"/>
  <c r="AG36" i="3" l="1"/>
  <c r="AO40" i="3" l="1"/>
  <c r="AO13" i="6" l="1"/>
  <c r="AO35" i="6" s="1"/>
  <c r="AN13" i="6"/>
  <c r="AN16" i="6" s="1"/>
  <c r="AN19" i="6" s="1"/>
  <c r="AL13" i="6"/>
  <c r="AL35" i="6" s="1"/>
  <c r="AK13" i="6"/>
  <c r="AK35" i="6" s="1"/>
  <c r="AJ13" i="6"/>
  <c r="AJ16" i="6" s="1"/>
  <c r="AJ19" i="6" s="1"/>
  <c r="AI13" i="6"/>
  <c r="AI16" i="6" s="1"/>
  <c r="AI19" i="6" s="1"/>
  <c r="AH13" i="6"/>
  <c r="AH16" i="6" s="1"/>
  <c r="AH19" i="6" s="1"/>
  <c r="AG13" i="6"/>
  <c r="AG35" i="6" s="1"/>
  <c r="AF13" i="6"/>
  <c r="AF16" i="6" s="1"/>
  <c r="AF19" i="6" s="1"/>
  <c r="AE13" i="6"/>
  <c r="AE16" i="6" s="1"/>
  <c r="AE19" i="6" s="1"/>
  <c r="AM12" i="6"/>
  <c r="AM13" i="6" s="1"/>
  <c r="AM16" i="6" s="1"/>
  <c r="AM19" i="6" s="1"/>
  <c r="AO7" i="5"/>
  <c r="AO10" i="5" s="1"/>
  <c r="AN7" i="5"/>
  <c r="AN10" i="5" s="1"/>
  <c r="AM7" i="5"/>
  <c r="AM10" i="5" s="1"/>
  <c r="AL7" i="5"/>
  <c r="AL10" i="5" s="1"/>
  <c r="AG7" i="5"/>
  <c r="AG10" i="5" s="1"/>
  <c r="AF7" i="5"/>
  <c r="AF10" i="5" s="1"/>
  <c r="AE7" i="5"/>
  <c r="AE10" i="5" s="1"/>
  <c r="AL16" i="6" l="1"/>
  <c r="AL19" i="6" s="1"/>
  <c r="AH35" i="6"/>
  <c r="AG16" i="6"/>
  <c r="AG19" i="6" s="1"/>
  <c r="AO16" i="6"/>
  <c r="AO19" i="6" s="1"/>
  <c r="AE35" i="6"/>
  <c r="AI35" i="6"/>
  <c r="AM35" i="6"/>
  <c r="AF35" i="6"/>
  <c r="AJ35" i="6"/>
  <c r="AN35" i="6"/>
  <c r="AK16" i="6"/>
  <c r="AK19" i="6" s="1"/>
  <c r="AO43" i="3" l="1"/>
  <c r="AO44" i="3" s="1"/>
  <c r="AN43" i="3"/>
  <c r="AN44" i="3" s="1"/>
  <c r="AM43" i="3"/>
  <c r="AM44" i="3" s="1"/>
  <c r="AL43" i="3"/>
  <c r="AL44" i="3" s="1"/>
  <c r="AK43" i="3"/>
  <c r="AK44" i="3" s="1"/>
  <c r="AJ43" i="3"/>
  <c r="AJ44" i="3" s="1"/>
  <c r="AI43" i="3"/>
  <c r="AI44" i="3" s="1"/>
  <c r="AH43" i="3"/>
  <c r="AH44" i="3" s="1"/>
  <c r="AG43" i="3"/>
  <c r="AG44" i="3" s="1"/>
  <c r="AF43" i="3"/>
  <c r="AF44" i="3" s="1"/>
  <c r="AE43" i="3"/>
  <c r="AE44" i="3" s="1"/>
  <c r="AD43" i="3"/>
  <c r="AD44" i="3" s="1"/>
  <c r="AN40" i="3"/>
  <c r="AM40" i="3"/>
  <c r="AL40" i="3"/>
  <c r="AK40" i="3"/>
  <c r="AJ40" i="3"/>
  <c r="AI40" i="3"/>
  <c r="AH40" i="3"/>
  <c r="AG40" i="3"/>
  <c r="AF40" i="3"/>
  <c r="AE40" i="3"/>
  <c r="AD40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F36" i="1" l="1"/>
  <c r="E36" i="1"/>
  <c r="D36" i="1"/>
  <c r="C36" i="1" l="1"/>
  <c r="B36" i="1"/>
  <c r="F29" i="1"/>
  <c r="E29" i="1"/>
  <c r="D29" i="1"/>
  <c r="C29" i="1"/>
  <c r="B29" i="1"/>
  <c r="C17" i="1"/>
  <c r="C20" i="1" s="1"/>
  <c r="F11" i="1"/>
  <c r="F14" i="1" s="1"/>
  <c r="F17" i="1" s="1"/>
  <c r="F20" i="1" s="1"/>
  <c r="E11" i="1"/>
  <c r="E14" i="1" s="1"/>
  <c r="E17" i="1" s="1"/>
  <c r="E20" i="1" s="1"/>
  <c r="D11" i="1"/>
  <c r="D14" i="1" s="1"/>
  <c r="D17" i="1" s="1"/>
  <c r="D20" i="1" s="1"/>
  <c r="B11" i="1"/>
  <c r="B14" i="1" s="1"/>
  <c r="B17" i="1" s="1"/>
  <c r="B20" i="1" s="1"/>
</calcChain>
</file>

<file path=xl/sharedStrings.xml><?xml version="1.0" encoding="utf-8"?>
<sst xmlns="http://schemas.openxmlformats.org/spreadsheetml/2006/main" count="1103" uniqueCount="297">
  <si>
    <t>Ten-year summary of key figures for the Sectra Group</t>
  </si>
  <si>
    <t>SEK thousands unless otherwise stated.</t>
  </si>
  <si>
    <t>2024/2025</t>
  </si>
  <si>
    <t>2023/2024</t>
  </si>
  <si>
    <t>2022/2023</t>
  </si>
  <si>
    <t>2021/2022</t>
  </si>
  <si>
    <t>2020/2021</t>
  </si>
  <si>
    <t>2019/2020</t>
  </si>
  <si>
    <t>2018/2019</t>
  </si>
  <si>
    <t>2017/2018</t>
  </si>
  <si>
    <t>2016/2017</t>
  </si>
  <si>
    <t>Sales, earnings and order bookings</t>
  </si>
  <si>
    <t xml:space="preserve">Net sales </t>
  </si>
  <si>
    <t xml:space="preserve">  of which recurring external revenue</t>
  </si>
  <si>
    <t>-</t>
  </si>
  <si>
    <t xml:space="preserve">  of which cloud recurring revenue</t>
  </si>
  <si>
    <t>Recurring revenue churn</t>
  </si>
  <si>
    <t>Annual growth,%</t>
  </si>
  <si>
    <t>-1,7</t>
  </si>
  <si>
    <t>Depreciation</t>
  </si>
  <si>
    <t>Impairment</t>
  </si>
  <si>
    <t xml:space="preserve">Operating profit (EBIT) </t>
  </si>
  <si>
    <t xml:space="preserve">  excluding patent settlement</t>
  </si>
  <si>
    <t>Profit after financial items (EBT)</t>
  </si>
  <si>
    <t>Net profit for the year</t>
  </si>
  <si>
    <t>Contracted order bookings</t>
  </si>
  <si>
    <t xml:space="preserve">  of which guaranteed order bookings</t>
  </si>
  <si>
    <t>Profitability</t>
  </si>
  <si>
    <t>Operating margin, %</t>
  </si>
  <si>
    <t xml:space="preserve">  excluding patent settlement, %</t>
  </si>
  <si>
    <t>Profit margin, %</t>
  </si>
  <si>
    <t>Return on working capital, %</t>
  </si>
  <si>
    <t>Return on equity, %</t>
  </si>
  <si>
    <t>Funding and working capital</t>
  </si>
  <si>
    <t>Working capital, SEK million</t>
  </si>
  <si>
    <t>of which, goodwill</t>
  </si>
  <si>
    <t>of which, other intangible and tangible fixed assets</t>
  </si>
  <si>
    <t>Liquidity ratio, multiple</t>
  </si>
  <si>
    <t>Equity/assets ratio, %</t>
  </si>
  <si>
    <t>Debt ratio</t>
  </si>
  <si>
    <r>
      <t xml:space="preserve">Investments 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>, SEK million</t>
    </r>
  </si>
  <si>
    <t>Cash flow</t>
  </si>
  <si>
    <t>Employees</t>
  </si>
  <si>
    <t>No. of employees, average</t>
  </si>
  <si>
    <t>No. of employees at fiscal year-end</t>
  </si>
  <si>
    <t>Sales per employee, SEK million</t>
  </si>
  <si>
    <t>Data per share</t>
  </si>
  <si>
    <r>
      <t xml:space="preserve">Dividend per share/redemption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, SEK</t>
    </r>
  </si>
  <si>
    <t>Dividend yield, %</t>
  </si>
  <si>
    <t xml:space="preserve">Earnings per share, SEK </t>
  </si>
  <si>
    <r>
      <t xml:space="preserve">Earnings per share after dilution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SEK</t>
    </r>
  </si>
  <si>
    <t>Equity per share, SEK</t>
  </si>
  <si>
    <r>
      <t xml:space="preserve">Equity per share after full dilution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, SEK </t>
    </r>
  </si>
  <si>
    <r>
      <t xml:space="preserve">No. of shares at fiscal year-end </t>
    </r>
    <r>
      <rPr>
        <vertAlign val="superscript"/>
        <sz val="8"/>
        <rFont val="Arial"/>
        <family val="2"/>
      </rPr>
      <t>1</t>
    </r>
  </si>
  <si>
    <t>Average number of shares</t>
  </si>
  <si>
    <t>Share price at fiscal year-end, SEK</t>
  </si>
  <si>
    <t>P/E ratio, multiple</t>
  </si>
  <si>
    <t>Consolidated income statements for the Group</t>
  </si>
  <si>
    <t>Fiscal year</t>
  </si>
  <si>
    <t>2025/2026</t>
  </si>
  <si>
    <t>SEK thousand</t>
  </si>
  <si>
    <t>Q2</t>
  </si>
  <si>
    <t>Q1</t>
  </si>
  <si>
    <r>
      <t xml:space="preserve">Q4 </t>
    </r>
    <r>
      <rPr>
        <vertAlign val="superscript"/>
        <sz val="8"/>
        <rFont val="Arial"/>
        <family val="2"/>
      </rPr>
      <t>2, 3</t>
    </r>
  </si>
  <si>
    <r>
      <t xml:space="preserve">Q3 </t>
    </r>
    <r>
      <rPr>
        <vertAlign val="superscript"/>
        <sz val="8"/>
        <rFont val="Arial"/>
        <family val="2"/>
      </rPr>
      <t>2, 3</t>
    </r>
  </si>
  <si>
    <t>Q4</t>
  </si>
  <si>
    <t>Q3</t>
  </si>
  <si>
    <t>Net sales</t>
  </si>
  <si>
    <t>Capitalized work for own use</t>
  </si>
  <si>
    <t>Reversal of contingent consideration</t>
  </si>
  <si>
    <t>Other operating income</t>
  </si>
  <si>
    <t>Goods for resale</t>
  </si>
  <si>
    <t>Personnel costs</t>
  </si>
  <si>
    <r>
      <t>Other external costs</t>
    </r>
    <r>
      <rPr>
        <vertAlign val="superscript"/>
        <sz val="8"/>
        <rFont val="Arial"/>
        <family val="2"/>
      </rPr>
      <t>1</t>
    </r>
  </si>
  <si>
    <r>
      <t>Depreciation/amortization and impairment</t>
    </r>
    <r>
      <rPr>
        <vertAlign val="superscript"/>
        <sz val="8"/>
        <rFont val="Arial"/>
        <family val="2"/>
      </rPr>
      <t>1</t>
    </r>
  </si>
  <si>
    <t>Operating profit</t>
  </si>
  <si>
    <t>Net financial items</t>
  </si>
  <si>
    <t>Profit after net financial items</t>
  </si>
  <si>
    <t>Taxes</t>
  </si>
  <si>
    <t>Profit for the period</t>
  </si>
  <si>
    <t>Profit for the period attributable to:</t>
  </si>
  <si>
    <t>Parent Company owners</t>
  </si>
  <si>
    <t>Non-controlling interest</t>
  </si>
  <si>
    <t>Earnings per share</t>
  </si>
  <si>
    <t>Before dilution, SEK</t>
  </si>
  <si>
    <t>After dilution, SEK</t>
  </si>
  <si>
    <t>No. of shares</t>
  </si>
  <si>
    <t>Before dilution</t>
  </si>
  <si>
    <t>After dilution</t>
  </si>
  <si>
    <t xml:space="preserve">Average, before dilution </t>
  </si>
  <si>
    <t>Average, after dilution</t>
  </si>
  <si>
    <t>Contracted order bookings, SEK million</t>
  </si>
  <si>
    <t>Guaranteed order bookings, SEK million</t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</si>
  <si>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In the fourth quarter of 2019/2020, an item of SEK 7.4 million was reported in depreciation/amortization instead of in operating expenses.</t>
    </r>
  </si>
  <si>
    <t>The amounts have been corrected in the above table. The quarter's operating profit and all items for the 2019/2020 fiscal year were reported accurately.</t>
  </si>
  <si>
    <r>
      <rPr>
        <vertAlign val="superscript"/>
        <sz val="9"/>
        <color theme="1"/>
        <rFont val="Calibri"/>
        <family val="2"/>
        <scheme val="minor"/>
      </rPr>
      <t>2)</t>
    </r>
    <r>
      <rPr>
        <sz val="9"/>
        <color theme="1"/>
        <rFont val="Calibri"/>
        <family val="2"/>
        <scheme val="minor"/>
      </rPr>
      <t xml:space="preserve"> Other operating income include the patent settlement of SEK 195 million.</t>
    </r>
  </si>
  <si>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The operating profit include the patent settlement of SEK 110 million.</t>
    </r>
  </si>
  <si>
    <t>Consolidated cash-flow</t>
  </si>
  <si>
    <t>Cash flow from operations before changes in working capital</t>
  </si>
  <si>
    <t>Cash flow from operations after changes in working capital</t>
  </si>
  <si>
    <t>Investing activities</t>
  </si>
  <si>
    <t>Financing activities</t>
  </si>
  <si>
    <t>Total cash flow for the period</t>
  </si>
  <si>
    <t>Change in cash and cash equivalents</t>
  </si>
  <si>
    <t>Cash and cash equivalents, opening balance</t>
  </si>
  <si>
    <t>Exchange-rate difference in cash and cash equivalents</t>
  </si>
  <si>
    <t>Cash and cash equivalents, closing balance</t>
  </si>
  <si>
    <t>Sales and Operating profit/loss by business segment</t>
  </si>
  <si>
    <r>
      <t xml:space="preserve">Fiscal year, </t>
    </r>
    <r>
      <rPr>
        <sz val="9"/>
        <color theme="1"/>
        <rFont val="Arial"/>
        <family val="2"/>
      </rPr>
      <t>SEK million</t>
    </r>
  </si>
  <si>
    <t>Imaging IT Solutions</t>
  </si>
  <si>
    <t>Sales</t>
  </si>
  <si>
    <t>Secure Communications</t>
  </si>
  <si>
    <t>Operating profit/loss</t>
  </si>
  <si>
    <t xml:space="preserve">  excl. patent settlement</t>
  </si>
  <si>
    <t xml:space="preserve">  excl. patent settlement, %</t>
  </si>
  <si>
    <t>Business Innovation</t>
  </si>
  <si>
    <t>Other operations</t>
  </si>
  <si>
    <t>Operating loss</t>
  </si>
  <si>
    <t>Group eliminations</t>
  </si>
  <si>
    <t xml:space="preserve">Sales </t>
  </si>
  <si>
    <t>The Sectra Group</t>
  </si>
  <si>
    <t>Total Sales</t>
  </si>
  <si>
    <t>Total Operating profit</t>
  </si>
  <si>
    <t xml:space="preserve">  excl patent settlement</t>
  </si>
  <si>
    <t>Sales by geographic market</t>
  </si>
  <si>
    <t>SEK million</t>
  </si>
  <si>
    <t>United States</t>
  </si>
  <si>
    <t>Sweden</t>
  </si>
  <si>
    <t>United Kingdom</t>
  </si>
  <si>
    <t>Rest of Europe</t>
  </si>
  <si>
    <t>Rest of World</t>
  </si>
  <si>
    <t>Total</t>
  </si>
  <si>
    <t>Five year summary</t>
  </si>
  <si>
    <t>Amounts in SEK thousands unless otherwise stated</t>
  </si>
  <si>
    <t>2012/2013</t>
  </si>
  <si>
    <t>2011/2012</t>
  </si>
  <si>
    <t>2010/2011</t>
  </si>
  <si>
    <t>2009/2010</t>
  </si>
  <si>
    <t>2008/2009</t>
  </si>
  <si>
    <t>Consolidated income statements</t>
  </si>
  <si>
    <r>
      <t>Net sales</t>
    </r>
    <r>
      <rPr>
        <vertAlign val="superscript"/>
        <sz val="9"/>
        <color theme="1"/>
        <rFont val="Arial"/>
        <family val="2"/>
      </rPr>
      <t>1</t>
    </r>
  </si>
  <si>
    <t>823 090</t>
  </si>
  <si>
    <t>Operating expenses</t>
  </si>
  <si>
    <r>
      <t xml:space="preserve">Operating profit </t>
    </r>
    <r>
      <rPr>
        <vertAlign val="superscript"/>
        <sz val="9"/>
        <color theme="1"/>
        <rFont val="Arial"/>
        <family val="2"/>
      </rPr>
      <t>1</t>
    </r>
  </si>
  <si>
    <t>103 465</t>
  </si>
  <si>
    <t>Profit after financial items</t>
  </si>
  <si>
    <t>Income tax</t>
  </si>
  <si>
    <t>Net earnings for the year from remaining operations</t>
  </si>
  <si>
    <t>Profit/loss from discontinued operations</t>
  </si>
  <si>
    <t>Net earnings/loss for the year</t>
  </si>
  <si>
    <t>Consolidated Balance Sheets</t>
  </si>
  <si>
    <t>Assets</t>
  </si>
  <si>
    <t>Intangible assets</t>
  </si>
  <si>
    <t>Other fixed assets</t>
  </si>
  <si>
    <t>Cash and cash equivalents</t>
  </si>
  <si>
    <t>Other current assets</t>
  </si>
  <si>
    <t>Total assets</t>
  </si>
  <si>
    <t>Equity and Liabilities</t>
  </si>
  <si>
    <t xml:space="preserve">Equity  </t>
  </si>
  <si>
    <t>Provisions</t>
  </si>
  <si>
    <t>Long-term liabilities</t>
  </si>
  <si>
    <t>Current liabilities</t>
  </si>
  <si>
    <t>Total equity and liabilities</t>
  </si>
  <si>
    <r>
      <t>Key figures</t>
    </r>
    <r>
      <rPr>
        <b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</t>
    </r>
  </si>
  <si>
    <r>
      <t xml:space="preserve">Net sales </t>
    </r>
    <r>
      <rPr>
        <vertAlign val="superscript"/>
        <sz val="9"/>
        <color theme="1"/>
        <rFont val="Arial"/>
        <family val="2"/>
      </rPr>
      <t>1</t>
    </r>
  </si>
  <si>
    <t>Annual growth</t>
  </si>
  <si>
    <t>Average growth, 7-year period</t>
  </si>
  <si>
    <r>
      <t xml:space="preserve">Operating profit (EBIT) </t>
    </r>
    <r>
      <rPr>
        <vertAlign val="superscript"/>
        <sz val="9"/>
        <color theme="1"/>
        <rFont val="Arial"/>
        <family val="2"/>
      </rPr>
      <t>1</t>
    </r>
  </si>
  <si>
    <t>Order bookings</t>
  </si>
  <si>
    <r>
      <t xml:space="preserve">Gross margin 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, %</t>
    </r>
  </si>
  <si>
    <t>16.1</t>
  </si>
  <si>
    <t>15.4</t>
  </si>
  <si>
    <t>14.5</t>
  </si>
  <si>
    <t>18.7</t>
  </si>
  <si>
    <t>17.2</t>
  </si>
  <si>
    <r>
      <t xml:space="preserve">Operating margin 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, %</t>
    </r>
  </si>
  <si>
    <t>10.5</t>
  </si>
  <si>
    <t>9.9</t>
  </si>
  <si>
    <t>9.3</t>
  </si>
  <si>
    <t>15.3</t>
  </si>
  <si>
    <t>15.5</t>
  </si>
  <si>
    <r>
      <t xml:space="preserve">Profit margin 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, %</t>
    </r>
  </si>
  <si>
    <t>10.6</t>
  </si>
  <si>
    <t>13.0</t>
  </si>
  <si>
    <t>9.0</t>
  </si>
  <si>
    <t>15.0</t>
  </si>
  <si>
    <t>25.7</t>
  </si>
  <si>
    <t>Return on total capital, incl. discontinued operations, %</t>
  </si>
  <si>
    <t>7.9</t>
  </si>
  <si>
    <t>40.8</t>
  </si>
  <si>
    <t>-0.7</t>
  </si>
  <si>
    <t>2.5</t>
  </si>
  <si>
    <t>7.4</t>
  </si>
  <si>
    <t>Return on working capital, incl. discontinued operations, %</t>
  </si>
  <si>
    <t>11.6</t>
  </si>
  <si>
    <t>59.7</t>
  </si>
  <si>
    <t>-1.1</t>
  </si>
  <si>
    <t>3.9</t>
  </si>
  <si>
    <t>Return on equity, incl. discontinued operations, %</t>
  </si>
  <si>
    <t>8.6</t>
  </si>
  <si>
    <t>58.0</t>
  </si>
  <si>
    <t>-1.6</t>
  </si>
  <si>
    <t>2.9</t>
  </si>
  <si>
    <t>8.7</t>
  </si>
  <si>
    <t>Value added, SEK million</t>
  </si>
  <si>
    <t>502.1</t>
  </si>
  <si>
    <t>488.9</t>
  </si>
  <si>
    <t>475.5</t>
  </si>
  <si>
    <t>504.1</t>
  </si>
  <si>
    <t>491.2</t>
  </si>
  <si>
    <t>822.0</t>
  </si>
  <si>
    <t>592.9</t>
  </si>
  <si>
    <t>642.1</t>
  </si>
  <si>
    <t>645.4</t>
  </si>
  <si>
    <t>of which goodwill</t>
  </si>
  <si>
    <t>of which other intangible and tangible fixed assets</t>
  </si>
  <si>
    <t>of which shares and participations in associated companies</t>
  </si>
  <si>
    <t>2.6</t>
  </si>
  <si>
    <t>3.4</t>
  </si>
  <si>
    <t>2.1</t>
  </si>
  <si>
    <t>2.0</t>
  </si>
  <si>
    <t>Solvency, %</t>
  </si>
  <si>
    <t>61.4</t>
  </si>
  <si>
    <t>69.4</t>
  </si>
  <si>
    <t>61.0</t>
  </si>
  <si>
    <t>62.2</t>
  </si>
  <si>
    <t>59.4</t>
  </si>
  <si>
    <t>0.04</t>
  </si>
  <si>
    <t>0.07</t>
  </si>
  <si>
    <t>Investments, SEK million</t>
  </si>
  <si>
    <t>76.2</t>
  </si>
  <si>
    <t>31.1</t>
  </si>
  <si>
    <t>42.9</t>
  </si>
  <si>
    <t>66.8</t>
  </si>
  <si>
    <t>67.7</t>
  </si>
  <si>
    <t>Cash flow from operating activities</t>
  </si>
  <si>
    <t>Cash flow from investment activity</t>
  </si>
  <si>
    <t>Cash flow from financing activity</t>
  </si>
  <si>
    <t>Cash flow for the year</t>
  </si>
  <si>
    <t>Operating cash flow</t>
  </si>
  <si>
    <t>1.6</t>
  </si>
  <si>
    <t>1.7</t>
  </si>
  <si>
    <t>Value added per employee, SEK million</t>
  </si>
  <si>
    <t>1.0</t>
  </si>
  <si>
    <t>1.1</t>
  </si>
  <si>
    <t>1.68</t>
  </si>
  <si>
    <t>2.52</t>
  </si>
  <si>
    <t>1.31</t>
  </si>
  <si>
    <t>2.28</t>
  </si>
  <si>
    <t>3.90</t>
  </si>
  <si>
    <r>
      <t>Earnings per share after dilution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>, SEK</t>
    </r>
  </si>
  <si>
    <t>1.65</t>
  </si>
  <si>
    <t>2.46</t>
  </si>
  <si>
    <t>1.29</t>
  </si>
  <si>
    <t>2.24</t>
  </si>
  <si>
    <t>3.84</t>
  </si>
  <si>
    <r>
      <t>Dividend per share/redemption</t>
    </r>
    <r>
      <rPr>
        <vertAlign val="superscript"/>
        <sz val="9"/>
        <color rgb="FF000000"/>
        <rFont val="Arial"/>
        <family val="2"/>
      </rPr>
      <t>5</t>
    </r>
    <r>
      <rPr>
        <sz val="9"/>
        <color rgb="FF000000"/>
        <rFont val="Arial"/>
        <family val="2"/>
      </rPr>
      <t>, SEK</t>
    </r>
  </si>
  <si>
    <t>5.0</t>
  </si>
  <si>
    <t>14.7</t>
  </si>
  <si>
    <t>17.94</t>
  </si>
  <si>
    <t>21.37</t>
  </si>
  <si>
    <t>15.46</t>
  </si>
  <si>
    <t>16.36</t>
  </si>
  <si>
    <t>16.26</t>
  </si>
  <si>
    <r>
      <t>Equity per share after full dilution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 xml:space="preserve">, SEK </t>
    </r>
  </si>
  <si>
    <t>17.55</t>
  </si>
  <si>
    <t>20.77</t>
  </si>
  <si>
    <t>15.13</t>
  </si>
  <si>
    <t>16.11</t>
  </si>
  <si>
    <t>16.06</t>
  </si>
  <si>
    <t>Cash flow per share, SEK</t>
  </si>
  <si>
    <t>3.60</t>
  </si>
  <si>
    <t>4.17</t>
  </si>
  <si>
    <t>2.77</t>
  </si>
  <si>
    <t>5.44</t>
  </si>
  <si>
    <t>Cash flow per share, incl. discontinued operations, SEK</t>
  </si>
  <si>
    <t>3.34</t>
  </si>
  <si>
    <t>0.70</t>
  </si>
  <si>
    <t>1.02</t>
  </si>
  <si>
    <t>2.55</t>
  </si>
  <si>
    <r>
      <t>Cash flow per share after dilution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>, SEK</t>
    </r>
  </si>
  <si>
    <t>3.53</t>
  </si>
  <si>
    <t>4.05</t>
  </si>
  <si>
    <t>2.19</t>
  </si>
  <si>
    <t>2.73</t>
  </si>
  <si>
    <t>5.37</t>
  </si>
  <si>
    <r>
      <t>Cash flow per share after dilution incl. discontinued operations</t>
    </r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>, SEK</t>
    </r>
  </si>
  <si>
    <t>3.24</t>
  </si>
  <si>
    <t>0.68</t>
  </si>
  <si>
    <t>1.01</t>
  </si>
  <si>
    <r>
      <t>No. of shares at fiscal year-end</t>
    </r>
    <r>
      <rPr>
        <vertAlign val="superscript"/>
        <sz val="9"/>
        <color rgb="FF000000"/>
        <rFont val="Arial"/>
        <family val="2"/>
      </rPr>
      <t>3</t>
    </r>
  </si>
  <si>
    <t>36 842 088</t>
  </si>
  <si>
    <t>53.0</t>
  </si>
  <si>
    <t>31.5</t>
  </si>
  <si>
    <t>Cash flow from investing activities</t>
  </si>
  <si>
    <t>Cash flow from financing activities</t>
  </si>
  <si>
    <r>
      <t xml:space="preserve">Cash flow per share after dilution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SEK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</si>
</sst>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%"/>
    <numFmt numFmtId="167" formatCode="0.000"/>
  </numFmts>
  <fonts count="4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rgb="FF000000"/>
      <name val="Arial"/>
      <family val="2"/>
    </font>
    <font>
      <sz val="8"/>
      <color theme="1"/>
      <name val="Times New Roman"/>
      <family val="1"/>
    </font>
    <font>
      <sz val="4"/>
      <color theme="1"/>
      <name val="Times New Roman"/>
      <family val="1"/>
    </font>
    <font>
      <b/>
      <sz val="4"/>
      <color theme="1"/>
      <name val="Arial"/>
      <family val="2"/>
    </font>
    <font>
      <b/>
      <sz val="9"/>
      <color theme="1"/>
      <name val="Arial"/>
      <family val="2"/>
    </font>
    <font>
      <sz val="6"/>
      <color theme="1"/>
      <name val="Times New Roman"/>
      <family val="1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b/>
      <sz val="10"/>
      <color theme="8"/>
      <name val="Arial"/>
      <family val="2"/>
    </font>
    <font>
      <sz val="9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vertAlign val="superscript"/>
      <sz val="8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6"/>
      <name val="Times New Roman"/>
      <family val="1"/>
    </font>
    <font>
      <sz val="9"/>
      <color rgb="FF00B0F0"/>
      <name val="Arial"/>
      <family val="2"/>
    </font>
    <font>
      <b/>
      <sz val="8"/>
      <color rgb="FF00B0F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sz val="6"/>
      <name val="Arial"/>
      <family val="2"/>
    </font>
    <font>
      <vertAlign val="superscript"/>
      <sz val="9"/>
      <color theme="1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39" fillId="0" borderId="0" applyFont="0" applyFill="0" applyBorder="0" applyAlignment="0" applyProtection="0"/>
  </cellStyleXfs>
  <cellXfs count="2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justify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 wrapText="1"/>
    </xf>
    <xf numFmtId="0" fontId="12" fillId="0" borderId="0" xfId="0" applyFont="1"/>
    <xf numFmtId="0" fontId="17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164" fontId="14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/>
    <xf numFmtId="0" fontId="21" fillId="0" borderId="0" xfId="0" applyFont="1"/>
    <xf numFmtId="0" fontId="13" fillId="0" borderId="2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23" fillId="0" borderId="0" xfId="0" applyFont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3" xfId="0" applyFont="1" applyBorder="1" applyAlignment="1">
      <alignment horizontal="left" vertical="center" wrapText="1" indent="2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12" fillId="0" borderId="0" xfId="0" applyNumberFormat="1" applyFont="1" applyAlignment="1">
      <alignment horizontal="right"/>
    </xf>
    <xf numFmtId="0" fontId="26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2" xfId="0" applyFont="1" applyBorder="1" applyAlignment="1">
      <alignment horizontal="justify" vertical="center" wrapText="1"/>
    </xf>
    <xf numFmtId="0" fontId="27" fillId="0" borderId="3" xfId="0" applyFont="1" applyBorder="1" applyAlignment="1">
      <alignment horizontal="left" vertical="center" wrapText="1" indent="2"/>
    </xf>
    <xf numFmtId="0" fontId="27" fillId="0" borderId="2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/>
    <xf numFmtId="0" fontId="27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7" fillId="0" borderId="2" xfId="0" applyFont="1" applyBorder="1" applyAlignment="1">
      <alignment vertical="center"/>
    </xf>
    <xf numFmtId="3" fontId="27" fillId="0" borderId="3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27" fillId="0" borderId="3" xfId="0" applyFont="1" applyBorder="1" applyAlignment="1">
      <alignment horizontal="justify" vertical="center" wrapText="1"/>
    </xf>
    <xf numFmtId="0" fontId="27" fillId="0" borderId="3" xfId="0" applyFont="1" applyBorder="1" applyAlignment="1">
      <alignment horizontal="right" vertical="center" wrapText="1"/>
    </xf>
    <xf numFmtId="164" fontId="27" fillId="0" borderId="3" xfId="0" applyNumberFormat="1" applyFont="1" applyBorder="1" applyAlignment="1">
      <alignment horizontal="righ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 wrapText="1"/>
    </xf>
    <xf numFmtId="0" fontId="27" fillId="0" borderId="3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3" fontId="13" fillId="0" borderId="2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right" vertical="center" wrapText="1"/>
    </xf>
    <xf numFmtId="3" fontId="13" fillId="0" borderId="2" xfId="0" applyNumberFormat="1" applyFont="1" applyBorder="1" applyAlignment="1">
      <alignment wrapText="1"/>
    </xf>
    <xf numFmtId="3" fontId="13" fillId="0" borderId="3" xfId="0" applyNumberFormat="1" applyFont="1" applyBorder="1" applyAlignment="1">
      <alignment vertical="center" wrapText="1"/>
    </xf>
    <xf numFmtId="0" fontId="37" fillId="0" borderId="0" xfId="0" applyFont="1" applyAlignment="1">
      <alignment vertical="center"/>
    </xf>
    <xf numFmtId="49" fontId="0" fillId="0" borderId="0" xfId="0" applyNumberFormat="1"/>
    <xf numFmtId="0" fontId="26" fillId="0" borderId="4" xfId="0" applyFont="1" applyBorder="1" applyAlignment="1">
      <alignment vertical="center" wrapText="1"/>
    </xf>
    <xf numFmtId="14" fontId="38" fillId="0" borderId="4" xfId="0" applyNumberFormat="1" applyFont="1" applyBorder="1" applyAlignment="1">
      <alignment horizontal="right" vertical="center" wrapText="1"/>
    </xf>
    <xf numFmtId="0" fontId="27" fillId="0" borderId="5" xfId="0" applyFont="1" applyBorder="1" applyAlignment="1">
      <alignment vertical="center" wrapText="1"/>
    </xf>
    <xf numFmtId="165" fontId="27" fillId="0" borderId="5" xfId="0" applyNumberFormat="1" applyFont="1" applyBorder="1" applyAlignment="1">
      <alignment horizontal="right" vertical="center" wrapText="1"/>
    </xf>
    <xf numFmtId="0" fontId="27" fillId="0" borderId="6" xfId="0" applyFont="1" applyBorder="1" applyAlignment="1">
      <alignment vertical="center" wrapText="1"/>
    </xf>
    <xf numFmtId="165" fontId="27" fillId="0" borderId="6" xfId="0" applyNumberFormat="1" applyFont="1" applyBorder="1" applyAlignment="1">
      <alignment horizontal="right" vertical="center" wrapText="1"/>
    </xf>
    <xf numFmtId="166" fontId="27" fillId="0" borderId="5" xfId="0" applyNumberFormat="1" applyFont="1" applyBorder="1" applyAlignment="1">
      <alignment horizontal="right" vertical="center" wrapText="1"/>
    </xf>
    <xf numFmtId="0" fontId="27" fillId="0" borderId="0" xfId="0" applyFont="1" applyAlignment="1">
      <alignment vertical="center" wrapText="1"/>
    </xf>
    <xf numFmtId="165" fontId="27" fillId="0" borderId="0" xfId="0" applyNumberFormat="1" applyFont="1" applyAlignment="1">
      <alignment horizontal="right" vertical="center" wrapText="1"/>
    </xf>
    <xf numFmtId="0" fontId="27" fillId="0" borderId="7" xfId="0" applyFont="1" applyBorder="1" applyAlignment="1">
      <alignment vertical="center" wrapText="1"/>
    </xf>
    <xf numFmtId="165" fontId="27" fillId="0" borderId="7" xfId="0" applyNumberFormat="1" applyFont="1" applyBorder="1" applyAlignment="1">
      <alignment horizontal="right" vertical="center" wrapText="1"/>
    </xf>
    <xf numFmtId="165" fontId="27" fillId="0" borderId="8" xfId="0" applyNumberFormat="1" applyFont="1" applyBorder="1" applyAlignment="1">
      <alignment horizontal="right" vertical="center" wrapText="1"/>
    </xf>
    <xf numFmtId="165" fontId="27" fillId="0" borderId="9" xfId="0" applyNumberFormat="1" applyFont="1" applyBorder="1" applyAlignment="1">
      <alignment horizontal="right" vertical="center" wrapText="1"/>
    </xf>
    <xf numFmtId="0" fontId="36" fillId="0" borderId="0" xfId="0" applyFont="1"/>
    <xf numFmtId="3" fontId="0" fillId="0" borderId="0" xfId="0" applyNumberFormat="1"/>
    <xf numFmtId="0" fontId="27" fillId="0" borderId="4" xfId="0" applyFont="1" applyBorder="1" applyAlignment="1">
      <alignment vertical="center"/>
    </xf>
    <xf numFmtId="0" fontId="27" fillId="0" borderId="12" xfId="0" applyFont="1" applyBorder="1" applyAlignment="1">
      <alignment vertical="center" wrapText="1"/>
    </xf>
    <xf numFmtId="165" fontId="27" fillId="0" borderId="12" xfId="0" applyNumberFormat="1" applyFont="1" applyBorder="1" applyAlignment="1">
      <alignment horizontal="right" vertical="center" wrapText="1"/>
    </xf>
    <xf numFmtId="165" fontId="26" fillId="0" borderId="4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165" fontId="0" fillId="0" borderId="0" xfId="0" applyNumberFormat="1"/>
    <xf numFmtId="0" fontId="27" fillId="0" borderId="4" xfId="0" applyFont="1" applyBorder="1" applyAlignment="1">
      <alignment horizontal="right" vertical="center" wrapText="1"/>
    </xf>
    <xf numFmtId="14" fontId="27" fillId="0" borderId="4" xfId="0" applyNumberFormat="1" applyFont="1" applyBorder="1" applyAlignment="1">
      <alignment horizontal="right" vertical="center" wrapText="1"/>
    </xf>
    <xf numFmtId="0" fontId="26" fillId="0" borderId="0" xfId="0" applyFont="1" applyAlignment="1">
      <alignment vertical="center" wrapText="1"/>
    </xf>
    <xf numFmtId="3" fontId="26" fillId="0" borderId="0" xfId="0" applyNumberFormat="1" applyFont="1" applyAlignment="1">
      <alignment horizontal="right" vertical="center" wrapText="1"/>
    </xf>
    <xf numFmtId="3" fontId="27" fillId="0" borderId="0" xfId="0" applyNumberFormat="1" applyFont="1" applyAlignment="1">
      <alignment horizontal="right" vertical="center" wrapText="1"/>
    </xf>
    <xf numFmtId="0" fontId="26" fillId="0" borderId="13" xfId="0" applyFont="1" applyBorder="1" applyAlignment="1">
      <alignment vertical="center" wrapText="1"/>
    </xf>
    <xf numFmtId="3" fontId="26" fillId="0" borderId="13" xfId="0" applyNumberFormat="1" applyFont="1" applyBorder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0" fontId="27" fillId="0" borderId="4" xfId="0" applyFont="1" applyBorder="1" applyAlignment="1">
      <alignment vertical="center" wrapText="1"/>
    </xf>
    <xf numFmtId="3" fontId="27" fillId="0" borderId="4" xfId="0" applyNumberFormat="1" applyFont="1" applyBorder="1" applyAlignment="1">
      <alignment horizontal="right" vertical="center" wrapText="1"/>
    </xf>
    <xf numFmtId="0" fontId="26" fillId="0" borderId="13" xfId="0" applyFont="1" applyBorder="1" applyAlignment="1">
      <alignment horizontal="right" vertical="center" wrapText="1"/>
    </xf>
    <xf numFmtId="3" fontId="27" fillId="0" borderId="13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0" fontId="27" fillId="0" borderId="13" xfId="0" applyFont="1" applyBorder="1" applyAlignment="1">
      <alignment horizontal="right" vertical="center" wrapText="1"/>
    </xf>
    <xf numFmtId="167" fontId="26" fillId="0" borderId="0" xfId="0" applyNumberFormat="1" applyFont="1" applyAlignment="1">
      <alignment vertical="center"/>
    </xf>
    <xf numFmtId="166" fontId="34" fillId="0" borderId="0" xfId="1" applyNumberFormat="1" applyFont="1" applyAlignment="1">
      <alignment vertical="center"/>
    </xf>
    <xf numFmtId="166" fontId="35" fillId="0" borderId="0" xfId="1" applyNumberFormat="1" applyFont="1" applyAlignment="1">
      <alignment vertical="center"/>
    </xf>
    <xf numFmtId="0" fontId="41" fillId="0" borderId="0" xfId="0" applyFont="1"/>
    <xf numFmtId="164" fontId="26" fillId="0" borderId="0" xfId="0" applyNumberFormat="1" applyFont="1" applyAlignment="1">
      <alignment horizontal="right" vertical="center"/>
    </xf>
    <xf numFmtId="0" fontId="42" fillId="0" borderId="0" xfId="0" applyFont="1"/>
    <xf numFmtId="0" fontId="44" fillId="0" borderId="0" xfId="0" applyFont="1"/>
    <xf numFmtId="0" fontId="22" fillId="0" borderId="0" xfId="0" applyFont="1" applyAlignment="1">
      <alignment horizontal="right" vertical="center" wrapText="1"/>
    </xf>
    <xf numFmtId="166" fontId="0" fillId="0" borderId="0" xfId="1" applyNumberFormat="1" applyFont="1"/>
    <xf numFmtId="0" fontId="40" fillId="0" borderId="0" xfId="0" applyFont="1"/>
    <xf numFmtId="165" fontId="27" fillId="0" borderId="4" xfId="0" applyNumberFormat="1" applyFont="1" applyBorder="1" applyAlignment="1">
      <alignment horizontal="right" vertical="center" wrapText="1"/>
    </xf>
    <xf numFmtId="14" fontId="38" fillId="0" borderId="0" xfId="0" applyNumberFormat="1" applyFont="1" applyAlignment="1">
      <alignment horizontal="right" vertical="center" wrapText="1"/>
    </xf>
    <xf numFmtId="166" fontId="43" fillId="0" borderId="0" xfId="1" applyNumberFormat="1" applyFont="1" applyAlignment="1">
      <alignment vertical="center"/>
    </xf>
    <xf numFmtId="3" fontId="26" fillId="0" borderId="0" xfId="0" applyNumberFormat="1" applyFont="1" applyAlignment="1">
      <alignment horizontal="right" vertical="center"/>
    </xf>
    <xf numFmtId="164" fontId="13" fillId="0" borderId="3" xfId="0" applyNumberFormat="1" applyFont="1" applyBorder="1" applyAlignment="1">
      <alignment horizontal="right" wrapText="1"/>
    </xf>
    <xf numFmtId="164" fontId="13" fillId="0" borderId="3" xfId="0" applyNumberFormat="1" applyFont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/>
    </xf>
    <xf numFmtId="165" fontId="13" fillId="0" borderId="3" xfId="0" applyNumberFormat="1" applyFont="1" applyBorder="1" applyAlignment="1">
      <alignment horizontal="right" vertical="center"/>
    </xf>
    <xf numFmtId="165" fontId="13" fillId="0" borderId="5" xfId="0" applyNumberFormat="1" applyFont="1" applyBorder="1" applyAlignment="1">
      <alignment horizontal="right" vertical="center" wrapText="1"/>
    </xf>
    <xf numFmtId="165" fontId="13" fillId="0" borderId="9" xfId="0" applyNumberFormat="1" applyFont="1" applyBorder="1" applyAlignment="1">
      <alignment horizontal="right" vertical="center" wrapText="1"/>
    </xf>
    <xf numFmtId="165" fontId="13" fillId="0" borderId="12" xfId="0" applyNumberFormat="1" applyFont="1" applyBorder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 wrapText="1"/>
    </xf>
    <xf numFmtId="165" fontId="13" fillId="0" borderId="4" xfId="0" applyNumberFormat="1" applyFont="1" applyBorder="1" applyAlignment="1">
      <alignment horizontal="right" vertical="center" wrapText="1"/>
    </xf>
    <xf numFmtId="0" fontId="26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7" fillId="0" borderId="9" xfId="0" applyFont="1" applyBorder="1" applyAlignment="1">
      <alignment vertical="center" wrapText="1"/>
    </xf>
    <xf numFmtId="3" fontId="27" fillId="0" borderId="9" xfId="0" applyNumberFormat="1" applyFont="1" applyBorder="1" applyAlignment="1">
      <alignment horizontal="right" vertical="center" wrapText="1"/>
    </xf>
    <xf numFmtId="0" fontId="27" fillId="0" borderId="9" xfId="0" applyFont="1" applyBorder="1" applyAlignment="1">
      <alignment horizontal="right" vertical="center" wrapText="1"/>
    </xf>
    <xf numFmtId="3" fontId="27" fillId="0" borderId="5" xfId="0" applyNumberFormat="1" applyFont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27" fillId="0" borderId="9" xfId="0" applyNumberFormat="1" applyFont="1" applyBorder="1" applyAlignment="1">
      <alignment horizontal="right" vertical="center" wrapText="1"/>
    </xf>
    <xf numFmtId="166" fontId="13" fillId="0" borderId="5" xfId="0" applyNumberFormat="1" applyFont="1" applyBorder="1"/>
    <xf numFmtId="0" fontId="13" fillId="0" borderId="3" xfId="0" applyFont="1" applyBorder="1" applyAlignment="1">
      <alignment horizontal="right" wrapText="1"/>
    </xf>
    <xf numFmtId="164" fontId="13" fillId="0" borderId="3" xfId="0" applyNumberFormat="1" applyFont="1" applyBorder="1" applyAlignment="1">
      <alignment horizontal="right" vertical="center"/>
    </xf>
    <xf numFmtId="0" fontId="46" fillId="0" borderId="0" xfId="0" applyFont="1"/>
    <xf numFmtId="49" fontId="9" fillId="0" borderId="11" xfId="0" applyNumberFormat="1" applyFont="1" applyBorder="1" applyAlignment="1">
      <alignment horizontal="left"/>
    </xf>
    <xf numFmtId="0" fontId="2" fillId="0" borderId="11" xfId="0" applyFont="1" applyBorder="1" applyAlignment="1">
      <alignment horizontal="right"/>
    </xf>
    <xf numFmtId="49" fontId="9" fillId="0" borderId="10" xfId="0" applyNumberFormat="1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3" fillId="0" borderId="5" xfId="0" applyFont="1" applyBorder="1" applyAlignment="1">
      <alignment wrapText="1"/>
    </xf>
    <xf numFmtId="3" fontId="13" fillId="0" borderId="5" xfId="0" applyNumberFormat="1" applyFont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0" fontId="13" fillId="0" borderId="9" xfId="0" applyFont="1" applyBorder="1"/>
    <xf numFmtId="3" fontId="13" fillId="0" borderId="9" xfId="0" applyNumberFormat="1" applyFont="1" applyBorder="1"/>
    <xf numFmtId="0" fontId="2" fillId="0" borderId="9" xfId="0" applyFont="1" applyBorder="1"/>
    <xf numFmtId="3" fontId="13" fillId="0" borderId="0" xfId="0" applyNumberFormat="1" applyFont="1"/>
    <xf numFmtId="0" fontId="2" fillId="0" borderId="0" xfId="0" applyFont="1"/>
    <xf numFmtId="0" fontId="13" fillId="0" borderId="5" xfId="0" applyFont="1" applyBorder="1"/>
    <xf numFmtId="49" fontId="9" fillId="0" borderId="0" xfId="0" applyNumberFormat="1" applyFont="1" applyAlignment="1">
      <alignment horizontal="left"/>
    </xf>
    <xf numFmtId="0" fontId="13" fillId="0" borderId="6" xfId="0" applyFont="1" applyBorder="1"/>
    <xf numFmtId="3" fontId="13" fillId="0" borderId="6" xfId="0" applyNumberFormat="1" applyFont="1" applyBorder="1"/>
    <xf numFmtId="0" fontId="27" fillId="0" borderId="11" xfId="0" applyFont="1" applyBorder="1" applyAlignment="1">
      <alignment horizontal="justify" vertical="center" wrapText="1"/>
    </xf>
    <xf numFmtId="49" fontId="26" fillId="0" borderId="11" xfId="0" applyNumberFormat="1" applyFont="1" applyBorder="1" applyAlignment="1">
      <alignment horizontal="right" vertical="center"/>
    </xf>
    <xf numFmtId="0" fontId="13" fillId="0" borderId="10" xfId="0" applyFont="1" applyBorder="1"/>
    <xf numFmtId="0" fontId="2" fillId="0" borderId="13" xfId="0" applyFont="1" applyBorder="1" applyAlignment="1">
      <alignment horizontal="right"/>
    </xf>
    <xf numFmtId="164" fontId="27" fillId="0" borderId="5" xfId="0" applyNumberFormat="1" applyFont="1" applyBorder="1" applyAlignment="1">
      <alignment vertical="center" wrapText="1"/>
    </xf>
    <xf numFmtId="165" fontId="27" fillId="0" borderId="6" xfId="0" applyNumberFormat="1" applyFont="1" applyBorder="1" applyAlignment="1">
      <alignment vertical="center" wrapText="1"/>
    </xf>
    <xf numFmtId="164" fontId="27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165" fontId="13" fillId="0" borderId="3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165" fontId="13" fillId="0" borderId="3" xfId="0" quotePrefix="1" applyNumberFormat="1" applyFont="1" applyBorder="1" applyAlignment="1">
      <alignment horizontal="right" vertical="center"/>
    </xf>
    <xf numFmtId="165" fontId="13" fillId="0" borderId="3" xfId="0" applyNumberFormat="1" applyFont="1" applyBorder="1" applyAlignment="1">
      <alignment horizontal="right" wrapText="1"/>
    </xf>
    <xf numFmtId="2" fontId="48" fillId="0" borderId="0" xfId="0" applyNumberFormat="1" applyFont="1" applyAlignment="1">
      <alignment horizontal="right" vertical="center" wrapText="1"/>
    </xf>
    <xf numFmtId="166" fontId="27" fillId="0" borderId="5" xfId="0" applyNumberFormat="1" applyFont="1" applyBorder="1" applyAlignment="1">
      <alignment vertical="center" wrapText="1"/>
    </xf>
    <xf numFmtId="3" fontId="13" fillId="0" borderId="5" xfId="0" applyNumberFormat="1" applyFont="1" applyBorder="1" applyAlignment="1">
      <alignment wrapText="1"/>
    </xf>
    <xf numFmtId="3" fontId="2" fillId="0" borderId="9" xfId="0" applyNumberFormat="1" applyFont="1" applyBorder="1" applyAlignment="1">
      <alignment wrapText="1"/>
    </xf>
    <xf numFmtId="3" fontId="2" fillId="0" borderId="0" xfId="0" applyNumberFormat="1" applyFont="1"/>
    <xf numFmtId="165" fontId="27" fillId="0" borderId="5" xfId="0" applyNumberFormat="1" applyFont="1" applyBorder="1" applyAlignment="1">
      <alignment vertical="center" wrapText="1"/>
    </xf>
    <xf numFmtId="165" fontId="27" fillId="0" borderId="0" xfId="0" applyNumberFormat="1" applyFont="1" applyAlignment="1">
      <alignment vertical="center" wrapText="1"/>
    </xf>
    <xf numFmtId="165" fontId="27" fillId="0" borderId="4" xfId="0" applyNumberFormat="1" applyFont="1" applyBorder="1" applyAlignment="1">
      <alignment vertical="center" wrapText="1"/>
    </xf>
    <xf numFmtId="165" fontId="27" fillId="0" borderId="9" xfId="0" applyNumberFormat="1" applyFont="1" applyBorder="1" applyAlignment="1">
      <alignment vertical="center" wrapText="1"/>
    </xf>
    <xf numFmtId="2" fontId="48" fillId="0" borderId="3" xfId="0" applyNumberFormat="1" applyFont="1" applyBorder="1" applyAlignment="1">
      <alignment horizontal="right" vertical="center" wrapText="1"/>
    </xf>
    <xf numFmtId="2" fontId="13" fillId="0" borderId="3" xfId="0" applyNumberFormat="1" applyFont="1" applyBorder="1" applyAlignment="1">
      <alignment horizontal="right" vertical="center" wrapText="1"/>
    </xf>
    <xf numFmtId="3" fontId="26" fillId="0" borderId="8" xfId="0" applyNumberFormat="1" applyFont="1" applyBorder="1" applyAlignment="1">
      <alignment vertical="center" wrapText="1"/>
    </xf>
    <xf numFmtId="3" fontId="27" fillId="0" borderId="9" xfId="0" applyNumberFormat="1" applyFont="1" applyBorder="1" applyAlignment="1">
      <alignment vertical="center" wrapText="1"/>
    </xf>
    <xf numFmtId="3" fontId="27" fillId="0" borderId="0" xfId="0" applyNumberFormat="1" applyFont="1" applyAlignment="1">
      <alignment vertical="center" wrapText="1"/>
    </xf>
    <xf numFmtId="3" fontId="26" fillId="0" borderId="13" xfId="0" applyNumberFormat="1" applyFont="1" applyBorder="1" applyAlignment="1">
      <alignment vertical="center" wrapText="1"/>
    </xf>
    <xf numFmtId="3" fontId="27" fillId="0" borderId="4" xfId="0" applyNumberFormat="1" applyFont="1" applyBorder="1" applyAlignment="1">
      <alignment vertical="center" wrapText="1"/>
    </xf>
    <xf numFmtId="3" fontId="26" fillId="0" borderId="0" xfId="0" applyNumberFormat="1" applyFont="1" applyAlignment="1">
      <alignment vertical="center" wrapText="1"/>
    </xf>
    <xf numFmtId="3" fontId="27" fillId="0" borderId="5" xfId="0" applyNumberFormat="1" applyFont="1" applyBorder="1" applyAlignment="1">
      <alignment vertical="center" wrapText="1"/>
    </xf>
    <xf numFmtId="3" fontId="27" fillId="0" borderId="12" xfId="0" applyNumberFormat="1" applyFont="1" applyBorder="1" applyAlignment="1">
      <alignment horizontal="right" vertical="center" wrapText="1"/>
    </xf>
    <xf numFmtId="4" fontId="27" fillId="0" borderId="5" xfId="0" applyNumberFormat="1" applyFont="1" applyBorder="1" applyAlignment="1">
      <alignment vertical="center" wrapText="1"/>
    </xf>
    <xf numFmtId="4" fontId="27" fillId="0" borderId="9" xfId="0" applyNumberFormat="1" applyFont="1" applyBorder="1" applyAlignment="1">
      <alignment vertical="center" wrapText="1"/>
    </xf>
    <xf numFmtId="165" fontId="27" fillId="0" borderId="7" xfId="0" applyNumberFormat="1" applyFont="1" applyBorder="1" applyAlignment="1">
      <alignment vertical="center" wrapText="1"/>
    </xf>
    <xf numFmtId="4" fontId="27" fillId="0" borderId="3" xfId="0" applyNumberFormat="1" applyFont="1" applyBorder="1" applyAlignment="1">
      <alignment horizontal="right" vertical="center" wrapText="1"/>
    </xf>
    <xf numFmtId="2" fontId="27" fillId="0" borderId="2" xfId="0" applyNumberFormat="1" applyFont="1" applyBorder="1" applyAlignment="1">
      <alignment horizontal="right" vertical="center" wrapText="1"/>
    </xf>
    <xf numFmtId="164" fontId="27" fillId="0" borderId="6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right" vertical="center"/>
    </xf>
    <xf numFmtId="166" fontId="21" fillId="0" borderId="0" xfId="1" applyNumberFormat="1" applyFont="1"/>
    <xf numFmtId="165" fontId="13" fillId="0" borderId="2" xfId="0" applyNumberFormat="1" applyFont="1" applyBorder="1" applyAlignment="1">
      <alignment horizontal="right" vertical="center" wrapText="1"/>
    </xf>
    <xf numFmtId="2" fontId="27" fillId="0" borderId="2" xfId="0" applyNumberFormat="1" applyFont="1" applyBorder="1" applyAlignment="1">
      <alignment vertical="center" wrapText="1"/>
    </xf>
    <xf numFmtId="2" fontId="27" fillId="0" borderId="3" xfId="0" applyNumberFormat="1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165" fontId="27" fillId="0" borderId="1" xfId="0" applyNumberFormat="1" applyFont="1" applyBorder="1" applyAlignment="1">
      <alignment vertical="center" wrapText="1"/>
    </xf>
    <xf numFmtId="164" fontId="27" fillId="0" borderId="1" xfId="0" applyNumberFormat="1" applyFont="1" applyBorder="1" applyAlignment="1">
      <alignment vertical="center" wrapText="1"/>
    </xf>
    <xf numFmtId="165" fontId="27" fillId="0" borderId="1" xfId="0" applyNumberFormat="1" applyFont="1" applyBorder="1" applyAlignment="1">
      <alignment horizontal="right" vertical="center" wrapText="1"/>
    </xf>
    <xf numFmtId="0" fontId="27" fillId="0" borderId="14" xfId="0" applyFont="1" applyBorder="1" applyAlignment="1">
      <alignment vertical="center" wrapText="1"/>
    </xf>
    <xf numFmtId="164" fontId="27" fillId="0" borderId="9" xfId="0" applyNumberFormat="1" applyFont="1" applyBorder="1" applyAlignment="1">
      <alignment vertical="center" wrapText="1"/>
    </xf>
    <xf numFmtId="0" fontId="27" fillId="0" borderId="4" xfId="0" applyFont="1" applyBorder="1" applyAlignment="1">
      <alignment horizontal="right" vertical="center"/>
    </xf>
    <xf numFmtId="49" fontId="2" fillId="0" borderId="10" xfId="0" applyNumberFormat="1" applyFont="1" applyBorder="1" applyAlignment="1">
      <alignment horizontal="right"/>
    </xf>
    <xf numFmtId="165" fontId="26" fillId="0" borderId="4" xfId="0" applyNumberFormat="1" applyFont="1" applyBorder="1" applyAlignment="1">
      <alignment vertical="center" wrapText="1"/>
    </xf>
    <xf numFmtId="0" fontId="0" fillId="0" borderId="5" xfId="0" applyBorder="1"/>
    <xf numFmtId="0" fontId="27" fillId="0" borderId="0" xfId="0" quotePrefix="1" applyFont="1" applyAlignment="1">
      <alignment horizontal="right" vertical="center" wrapText="1"/>
    </xf>
    <xf numFmtId="0" fontId="27" fillId="0" borderId="15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165" fontId="13" fillId="0" borderId="17" xfId="0" applyNumberFormat="1" applyFont="1" applyBorder="1" applyAlignment="1">
      <alignment horizontal="right" vertical="center" wrapText="1"/>
    </xf>
    <xf numFmtId="0" fontId="26" fillId="0" borderId="15" xfId="0" applyFont="1" applyBorder="1" applyAlignment="1">
      <alignment vertical="center" wrapText="1"/>
    </xf>
    <xf numFmtId="165" fontId="2" fillId="0" borderId="0" xfId="0" applyNumberFormat="1" applyFont="1" applyAlignment="1">
      <alignment horizontal="right" vertical="center" wrapText="1"/>
    </xf>
    <xf numFmtId="0" fontId="0" fillId="0" borderId="4" xfId="0" applyBorder="1"/>
    <xf numFmtId="4" fontId="27" fillId="0" borderId="2" xfId="0" applyNumberFormat="1" applyFont="1" applyBorder="1" applyAlignment="1">
      <alignment horizontal="right" vertical="center" wrapText="1"/>
    </xf>
    <xf numFmtId="3" fontId="13" fillId="0" borderId="2" xfId="0" quotePrefix="1" applyNumberFormat="1" applyFont="1" applyBorder="1" applyAlignment="1">
      <alignment horizontal="right" vertical="center"/>
    </xf>
    <xf numFmtId="165" fontId="27" fillId="0" borderId="5" xfId="0" quotePrefix="1" applyNumberFormat="1" applyFont="1" applyBorder="1" applyAlignment="1">
      <alignment horizontal="right" vertical="center" wrapText="1"/>
    </xf>
    <xf numFmtId="165" fontId="27" fillId="0" borderId="0" xfId="0" quotePrefix="1" applyNumberFormat="1" applyFont="1" applyAlignment="1">
      <alignment horizontal="right" vertical="center" wrapText="1"/>
    </xf>
    <xf numFmtId="165" fontId="13" fillId="0" borderId="17" xfId="0" quotePrefix="1" applyNumberFormat="1" applyFont="1" applyBorder="1" applyAlignment="1">
      <alignment horizontal="right" vertical="center" wrapText="1"/>
    </xf>
    <xf numFmtId="165" fontId="13" fillId="0" borderId="0" xfId="0" quotePrefix="1" applyNumberFormat="1" applyFont="1" applyAlignment="1">
      <alignment horizontal="right" vertical="center" wrapText="1"/>
    </xf>
    <xf numFmtId="3" fontId="21" fillId="0" borderId="0" xfId="0" applyNumberFormat="1" applyFont="1"/>
    <xf numFmtId="3" fontId="13" fillId="0" borderId="2" xfId="0" applyNumberFormat="1" applyFont="1" applyBorder="1" applyAlignment="1">
      <alignment horizontal="right" vertical="center" wrapText="1"/>
    </xf>
    <xf numFmtId="2" fontId="27" fillId="0" borderId="5" xfId="0" applyNumberFormat="1" applyFont="1" applyBorder="1" applyAlignment="1">
      <alignment vertical="center" wrapText="1"/>
    </xf>
    <xf numFmtId="2" fontId="27" fillId="0" borderId="9" xfId="0" applyNumberFormat="1" applyFont="1" applyBorder="1" applyAlignment="1">
      <alignment vertical="center" wrapText="1"/>
    </xf>
    <xf numFmtId="3" fontId="27" fillId="0" borderId="2" xfId="0" applyNumberFormat="1" applyFont="1" applyBorder="1" applyAlignment="1">
      <alignment wrapText="1"/>
    </xf>
    <xf numFmtId="3" fontId="27" fillId="0" borderId="5" xfId="0" applyNumberFormat="1" applyFont="1" applyBorder="1" applyAlignment="1">
      <alignment wrapText="1"/>
    </xf>
    <xf numFmtId="165" fontId="13" fillId="0" borderId="2" xfId="0" applyNumberFormat="1" applyFont="1" applyBorder="1" applyAlignment="1">
      <alignment vertical="center"/>
    </xf>
    <xf numFmtId="0" fontId="0" fillId="0" borderId="2" xfId="0" applyBorder="1"/>
    <xf numFmtId="0" fontId="27" fillId="0" borderId="1" xfId="0" quotePrefix="1" applyFont="1" applyBorder="1" applyAlignment="1">
      <alignment horizontal="right" vertical="center" wrapText="1"/>
    </xf>
    <xf numFmtId="0" fontId="0" fillId="0" borderId="1" xfId="0" applyBorder="1"/>
    <xf numFmtId="0" fontId="27" fillId="0" borderId="9" xfId="0" quotePrefix="1" applyFont="1" applyBorder="1" applyAlignment="1">
      <alignment horizontal="right" vertical="center" wrapText="1"/>
    </xf>
    <xf numFmtId="0" fontId="26" fillId="0" borderId="16" xfId="0" applyFont="1" applyBorder="1" applyAlignment="1">
      <alignment vertical="center" wrapText="1"/>
    </xf>
    <xf numFmtId="165" fontId="2" fillId="0" borderId="17" xfId="0" applyNumberFormat="1" applyFont="1" applyBorder="1" applyAlignment="1">
      <alignment horizontal="right" vertical="center" wrapText="1"/>
    </xf>
    <xf numFmtId="0" fontId="26" fillId="0" borderId="18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47625</xdr:rowOff>
    </xdr:from>
    <xdr:to>
      <xdr:col>9</xdr:col>
      <xdr:colOff>400050</xdr:colOff>
      <xdr:row>65</xdr:row>
      <xdr:rowOff>38101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9429750"/>
          <a:ext cx="8934450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900" baseline="30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</a:t>
          </a: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Adjusted for stock splits and bonus issues.</a:t>
          </a:r>
        </a:p>
        <a:p>
          <a:pPr marL="0" indent="0"/>
          <a:r>
            <a:rPr lang="sv-SE" sz="900" baseline="300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2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 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Dilution was based on issued convertible debenture loans.</a:t>
          </a:r>
          <a:r>
            <a:rPr lang="sv-SE" sz="900" baseline="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 Per 30 April, 2026, there are no outstanding convertible debenture loans. </a:t>
          </a:r>
          <a:r>
            <a:rPr lang="sv-SE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   </a:t>
          </a: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r>
            <a:rPr lang="sv-SE" sz="9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3  </a:t>
          </a:r>
          <a:r>
            <a:rPr lang="sv-SE" sz="9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The amount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 for 2</a:t>
          </a:r>
          <a:r>
            <a:rPr lang="sv-SE" sz="90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024/2025 pertains to the proposal to the AGM and includes an extraordinary dividend of SEK 1.00</a:t>
          </a: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  <a:cs typeface="+mn-cs"/>
            </a:rPr>
            <a:t>.</a:t>
          </a:r>
          <a:endParaRPr lang="sv-SE" sz="900">
            <a:solidFill>
              <a:schemeClr val="dk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  <a:cs typeface="+mn-cs"/>
          </a:endParaRPr>
        </a:p>
        <a:p>
          <a:pPr marL="90170" marR="0" lvl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r>
            <a:rPr lang="sv-SE" sz="9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sv-SE" sz="9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90170" marR="0" lvl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endParaRPr lang="sv-SE" sz="90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endParaRPr lang="sv-SE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</a:p>
        <a:p>
          <a:pPr marL="90170" marR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endParaRPr lang="sv-S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100</xdr:row>
      <xdr:rowOff>47624</xdr:rowOff>
    </xdr:from>
    <xdr:to>
      <xdr:col>6</xdr:col>
      <xdr:colOff>9525</xdr:colOff>
      <xdr:row>107</xdr:row>
      <xdr:rowOff>156481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8798267"/>
          <a:ext cx="6234793" cy="14151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90170" indent="-90170">
            <a:spcAft>
              <a:spcPts val="0"/>
            </a:spcAft>
            <a:tabLst>
              <a:tab pos="90170" algn="l"/>
            </a:tabLst>
          </a:pPr>
          <a:r>
            <a:rPr lang="sv-SE" sz="900" baseline="30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1</a:t>
          </a: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	The</a:t>
          </a:r>
          <a:r>
            <a:rPr lang="sv-SE" sz="9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</a:t>
          </a:r>
          <a:r>
            <a:rPr lang="sv-SE" sz="9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2011/2012 amounts include</a:t>
          </a:r>
          <a:r>
            <a:rPr lang="sv-SE" sz="900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a nonrecurring item that had a positive impact of SEK 30 million on sales and SEK 25 million on operating profit.</a:t>
          </a:r>
          <a:endParaRPr lang="sv-SE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sv-SE" sz="900" baseline="30000">
              <a:effectLst/>
              <a:latin typeface="Times New Roman" pitchFamily="18" charset="0"/>
              <a:ea typeface="Times New Roman" panose="02020603050405020304" pitchFamily="18" charset="0"/>
              <a:cs typeface="Times New Roman" pitchFamily="18" charset="0"/>
            </a:rPr>
            <a:t>2</a:t>
          </a:r>
          <a:r>
            <a:rPr lang="sv-SE" sz="900">
              <a:effectLst/>
              <a:latin typeface="Times New Roman" pitchFamily="18" charset="0"/>
              <a:ea typeface="Times New Roman" panose="02020603050405020304" pitchFamily="18" charset="0"/>
              <a:cs typeface="Times New Roman" pitchFamily="18" charset="0"/>
            </a:rPr>
            <a:t>  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Excluding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nonrecurring item.</a:t>
          </a:r>
          <a:endParaRPr lang="sv-SE" sz="900">
            <a:latin typeface="Times New Roman" pitchFamily="18" charset="0"/>
            <a:cs typeface="Times New Roman" pitchFamily="18" charset="0"/>
          </a:endParaRPr>
        </a:p>
        <a:p>
          <a:r>
            <a:rPr lang="sv-SE" sz="9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3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 Adjusted for stock splits and bonus issues. </a:t>
          </a:r>
          <a:endParaRPr lang="sv-SE" sz="900">
            <a:latin typeface="Times New Roman" pitchFamily="18" charset="0"/>
            <a:cs typeface="Times New Roman" pitchFamily="18" charset="0"/>
          </a:endParaRPr>
        </a:p>
        <a:p>
          <a:r>
            <a:rPr lang="sv-SE" sz="9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4 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Dilution is based on the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convertible debenture loan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2011/2012 (225,090), 2010/2011 (145,727) and 2009/2010 (403,608) and the                employee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stock option program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2009/2010 (100,000),  2010/2011 (100,000) and 2011/2012 (100,000). </a:t>
          </a:r>
          <a:endParaRPr lang="sv-SE" sz="900">
            <a:latin typeface="Times New Roman" pitchFamily="18" charset="0"/>
            <a:cs typeface="Times New Roman" pitchFamily="18" charset="0"/>
          </a:endParaRPr>
        </a:p>
        <a:p>
          <a:r>
            <a:rPr lang="sv-SE" sz="9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  </a:t>
          </a:r>
          <a:r>
            <a:rPr lang="sv-SE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2012/2013 refers to the redemption</a:t>
          </a:r>
          <a:r>
            <a:rPr lang="sv-SE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program proposed by the Board of Directors</a:t>
          </a:r>
          <a:endParaRPr lang="sv-SE" sz="9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90170" marR="0" indent="-9017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90170" algn="l"/>
            </a:tabLst>
            <a:defRPr/>
          </a:pPr>
          <a:r>
            <a:rPr lang="sv-SE" sz="9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Definition of key figures, see note 34.</a:t>
          </a:r>
          <a:endParaRPr lang="sv-SE" sz="900">
            <a:effectLst/>
            <a:latin typeface="Times New Roman" pitchFamily="18" charset="0"/>
            <a:cs typeface="Times New Roman" pitchFamily="18" charset="0"/>
          </a:endParaRPr>
        </a:p>
        <a:p>
          <a:pPr marL="90170" indent="-90170">
            <a:spcAft>
              <a:spcPts val="0"/>
            </a:spcAft>
            <a:tabLst>
              <a:tab pos="90170" algn="l"/>
            </a:tabLst>
          </a:pPr>
          <a:endParaRPr lang="sv-SE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endParaRPr lang="sv-SE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A83"/>
  <sheetViews>
    <sheetView tabSelected="1" zoomScaleNormal="100" zoomScalePageLayoutView="140" workbookViewId="0"/>
  </sheetViews>
  <sheetFormatPr defaultRowHeight="14.5" x14ac:dyDescent="0.35"/>
  <cols>
    <col min="1" max="1" width="50.54296875" bestFit="1" customWidth="1"/>
    <col min="2" max="6" width="9.54296875" customWidth="1"/>
    <col min="7" max="7" width="9.54296875" bestFit="1" customWidth="1"/>
    <col min="8" max="11" width="10" customWidth="1"/>
  </cols>
  <sheetData>
    <row r="1" spans="1:183" ht="18" x14ac:dyDescent="0.35">
      <c r="A1" s="54" t="s">
        <v>0</v>
      </c>
      <c r="B1" s="54"/>
      <c r="C1" s="54"/>
      <c r="D1" s="54"/>
      <c r="E1" s="54"/>
      <c r="F1" s="54"/>
      <c r="G1" s="1"/>
      <c r="H1" s="54"/>
      <c r="I1" s="54"/>
      <c r="J1" s="54"/>
      <c r="K1" s="54"/>
    </row>
    <row r="2" spans="1:183" x14ac:dyDescent="0.35">
      <c r="A2" s="149"/>
      <c r="B2" s="149"/>
      <c r="C2" s="149"/>
      <c r="D2" s="149"/>
      <c r="E2" s="149"/>
      <c r="F2" s="149"/>
      <c r="G2" s="73"/>
      <c r="H2" s="149"/>
      <c r="I2" s="56"/>
      <c r="J2" s="56"/>
      <c r="K2" s="56"/>
    </row>
    <row r="3" spans="1:183" ht="7.5" customHeight="1" x14ac:dyDescent="0.35">
      <c r="A3" s="56"/>
      <c r="B3" s="56"/>
      <c r="C3" s="56"/>
      <c r="D3" s="56"/>
      <c r="E3" s="56"/>
      <c r="F3" s="56"/>
      <c r="G3" s="177"/>
      <c r="H3" s="56"/>
      <c r="I3" s="56"/>
      <c r="J3" s="56"/>
      <c r="K3" s="56"/>
    </row>
    <row r="4" spans="1:183" s="170" customFormat="1" ht="15" customHeight="1" x14ac:dyDescent="0.2">
      <c r="A4" s="168" t="s">
        <v>1</v>
      </c>
      <c r="B4" s="205" t="s">
        <v>59</v>
      </c>
      <c r="C4" s="205" t="s">
        <v>2</v>
      </c>
      <c r="D4" s="205" t="s">
        <v>3</v>
      </c>
      <c r="E4" s="205" t="s">
        <v>4</v>
      </c>
      <c r="F4" s="205" t="s">
        <v>5</v>
      </c>
      <c r="G4" s="175" t="s">
        <v>6</v>
      </c>
      <c r="H4" s="169" t="s">
        <v>7</v>
      </c>
      <c r="I4" s="169" t="s">
        <v>8</v>
      </c>
      <c r="J4" s="169" t="s">
        <v>9</v>
      </c>
      <c r="K4" s="169" t="s">
        <v>10</v>
      </c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</row>
    <row r="5" spans="1:183" ht="6.75" customHeight="1" x14ac:dyDescent="0.35">
      <c r="A5" s="57"/>
      <c r="B5" s="57"/>
      <c r="C5" s="57"/>
      <c r="D5" s="57"/>
      <c r="E5" s="57"/>
      <c r="F5" s="57"/>
      <c r="G5" s="3"/>
      <c r="H5" s="57"/>
      <c r="I5" s="57"/>
      <c r="J5" s="57"/>
      <c r="K5" s="57"/>
    </row>
    <row r="6" spans="1:183" s="40" customFormat="1" ht="12" customHeight="1" x14ac:dyDescent="0.25">
      <c r="A6" s="49" t="s">
        <v>11</v>
      </c>
      <c r="B6" s="49"/>
      <c r="C6" s="49"/>
      <c r="D6" s="49"/>
      <c r="E6" s="49"/>
      <c r="F6" s="49"/>
      <c r="G6" s="2"/>
      <c r="H6" s="49"/>
      <c r="I6" s="115"/>
      <c r="J6" s="115"/>
      <c r="K6" s="115"/>
    </row>
    <row r="7" spans="1:183" s="40" customFormat="1" ht="12.75" customHeight="1" x14ac:dyDescent="0.25">
      <c r="A7" s="58" t="s">
        <v>12</v>
      </c>
      <c r="B7" s="69">
        <v>3541661</v>
      </c>
      <c r="C7" s="69">
        <v>3239811</v>
      </c>
      <c r="D7" s="69">
        <v>2963607</v>
      </c>
      <c r="E7" s="69">
        <v>2350752</v>
      </c>
      <c r="F7" s="69">
        <v>1949140</v>
      </c>
      <c r="G7" s="69">
        <v>1632427</v>
      </c>
      <c r="H7" s="69">
        <v>1661138</v>
      </c>
      <c r="I7" s="69">
        <v>1413522</v>
      </c>
      <c r="J7" s="69">
        <v>1209181</v>
      </c>
      <c r="K7" s="69">
        <v>1125109</v>
      </c>
      <c r="L7" s="233"/>
      <c r="M7" s="206"/>
    </row>
    <row r="8" spans="1:183" s="40" customFormat="1" ht="12.75" customHeight="1" x14ac:dyDescent="0.25">
      <c r="A8" s="66" t="s">
        <v>13</v>
      </c>
      <c r="B8" s="69">
        <v>2451310</v>
      </c>
      <c r="C8" s="69">
        <v>2067354</v>
      </c>
      <c r="D8" s="69">
        <v>1724940</v>
      </c>
      <c r="E8" s="69">
        <v>1359895</v>
      </c>
      <c r="F8" s="69">
        <v>1081399</v>
      </c>
      <c r="G8" s="69">
        <v>967753</v>
      </c>
      <c r="H8" s="228" t="s">
        <v>14</v>
      </c>
      <c r="I8" s="228" t="s">
        <v>14</v>
      </c>
      <c r="J8" s="228" t="s">
        <v>14</v>
      </c>
      <c r="K8" s="228" t="s">
        <v>14</v>
      </c>
      <c r="L8" s="233"/>
      <c r="M8" s="206"/>
    </row>
    <row r="9" spans="1:183" s="40" customFormat="1" ht="12.75" customHeight="1" x14ac:dyDescent="0.25">
      <c r="A9" s="86" t="s">
        <v>15</v>
      </c>
      <c r="B9" s="69">
        <v>915810</v>
      </c>
      <c r="C9" s="69">
        <v>591058</v>
      </c>
      <c r="D9" s="69">
        <v>396851</v>
      </c>
      <c r="E9" s="69">
        <v>254569</v>
      </c>
      <c r="F9" s="69">
        <v>181499</v>
      </c>
      <c r="G9" s="69">
        <v>144431</v>
      </c>
      <c r="H9" s="228" t="s">
        <v>14</v>
      </c>
      <c r="I9" s="228" t="s">
        <v>14</v>
      </c>
      <c r="J9" s="228" t="s">
        <v>14</v>
      </c>
      <c r="K9" s="228" t="s">
        <v>14</v>
      </c>
    </row>
    <row r="10" spans="1:183" s="40" customFormat="1" ht="12.75" customHeight="1" x14ac:dyDescent="0.25">
      <c r="A10" s="86" t="s">
        <v>16</v>
      </c>
      <c r="B10" s="239">
        <v>0.5</v>
      </c>
      <c r="C10" s="239">
        <v>0.6</v>
      </c>
      <c r="D10" s="239">
        <v>0.4</v>
      </c>
      <c r="E10" s="239">
        <v>1.3</v>
      </c>
      <c r="F10" s="228" t="s">
        <v>14</v>
      </c>
      <c r="G10" s="228" t="s">
        <v>14</v>
      </c>
      <c r="H10" s="228" t="s">
        <v>14</v>
      </c>
      <c r="I10" s="228" t="s">
        <v>14</v>
      </c>
      <c r="J10" s="228" t="s">
        <v>14</v>
      </c>
      <c r="K10" s="228" t="s">
        <v>14</v>
      </c>
    </row>
    <row r="11" spans="1:183" s="40" customFormat="1" ht="12.75" customHeight="1" x14ac:dyDescent="0.25">
      <c r="A11" s="50" t="s">
        <v>17</v>
      </c>
      <c r="B11" s="178">
        <v>9.3000000000000007</v>
      </c>
      <c r="C11" s="178">
        <v>9.3000000000000007</v>
      </c>
      <c r="D11" s="178">
        <v>26.1</v>
      </c>
      <c r="E11" s="178">
        <v>20.6</v>
      </c>
      <c r="F11" s="178">
        <v>19.399999999999999</v>
      </c>
      <c r="G11" s="178" t="s">
        <v>18</v>
      </c>
      <c r="H11" s="132">
        <v>1.5</v>
      </c>
      <c r="I11" s="132">
        <v>16.899999999999999</v>
      </c>
      <c r="J11" s="132">
        <v>7.5</v>
      </c>
      <c r="K11" s="132">
        <v>4.0999999999999996</v>
      </c>
      <c r="L11" s="206"/>
      <c r="M11" s="206"/>
      <c r="N11" s="206"/>
      <c r="O11" s="206"/>
    </row>
    <row r="12" spans="1:183" s="40" customFormat="1" ht="12.75" customHeight="1" x14ac:dyDescent="0.25">
      <c r="A12" s="50" t="s">
        <v>19</v>
      </c>
      <c r="B12" s="70">
        <v>-115843</v>
      </c>
      <c r="C12" s="70">
        <v>-111530</v>
      </c>
      <c r="D12" s="70">
        <v>-98065</v>
      </c>
      <c r="E12" s="70">
        <v>-91939</v>
      </c>
      <c r="F12" s="70">
        <v>-81216</v>
      </c>
      <c r="G12" s="70">
        <v>-78919</v>
      </c>
      <c r="H12" s="70">
        <v>-72231</v>
      </c>
      <c r="I12" s="70">
        <v>-46809</v>
      </c>
      <c r="J12" s="70">
        <v>-39928</v>
      </c>
      <c r="K12" s="70">
        <v>-33830</v>
      </c>
      <c r="M12" s="206"/>
    </row>
    <row r="13" spans="1:183" s="40" customFormat="1" ht="12.75" customHeight="1" x14ac:dyDescent="0.25">
      <c r="A13" s="50" t="s">
        <v>20</v>
      </c>
      <c r="B13" s="131">
        <v>-6000</v>
      </c>
      <c r="C13" s="131">
        <v>0</v>
      </c>
      <c r="D13" s="131">
        <v>-6069</v>
      </c>
      <c r="E13" s="131">
        <v>0</v>
      </c>
      <c r="F13" s="131">
        <v>0</v>
      </c>
      <c r="G13" s="131">
        <v>-4194</v>
      </c>
      <c r="H13" s="70">
        <v>-7443</v>
      </c>
      <c r="I13" s="70">
        <v>0</v>
      </c>
      <c r="J13" s="70">
        <v>0</v>
      </c>
      <c r="K13" s="70">
        <v>-12313</v>
      </c>
    </row>
    <row r="14" spans="1:183" s="40" customFormat="1" ht="12.75" customHeight="1" x14ac:dyDescent="0.25">
      <c r="A14" s="50" t="s">
        <v>21</v>
      </c>
      <c r="B14" s="70">
        <v>710635</v>
      </c>
      <c r="C14" s="70">
        <v>722997</v>
      </c>
      <c r="D14" s="70">
        <v>517810</v>
      </c>
      <c r="E14" s="70">
        <v>455653</v>
      </c>
      <c r="F14" s="70">
        <v>383386</v>
      </c>
      <c r="G14" s="70">
        <v>350076</v>
      </c>
      <c r="H14" s="70">
        <v>295348</v>
      </c>
      <c r="I14" s="70">
        <v>235541</v>
      </c>
      <c r="J14" s="70">
        <v>214349</v>
      </c>
      <c r="K14" s="70">
        <v>194986</v>
      </c>
    </row>
    <row r="15" spans="1:183" s="40" customFormat="1" ht="12.75" customHeight="1" x14ac:dyDescent="0.25">
      <c r="A15" s="50" t="s">
        <v>22</v>
      </c>
      <c r="B15" s="228">
        <v>710635</v>
      </c>
      <c r="C15" s="228">
        <v>612997</v>
      </c>
      <c r="D15" s="228" t="s">
        <v>14</v>
      </c>
      <c r="E15" s="228" t="s">
        <v>14</v>
      </c>
      <c r="F15" s="228" t="s">
        <v>14</v>
      </c>
      <c r="G15" s="228" t="s">
        <v>14</v>
      </c>
      <c r="H15" s="228" t="s">
        <v>14</v>
      </c>
      <c r="I15" s="228" t="s">
        <v>14</v>
      </c>
      <c r="J15" s="228" t="s">
        <v>14</v>
      </c>
      <c r="K15" s="228" t="s">
        <v>14</v>
      </c>
    </row>
    <row r="16" spans="1:183" s="40" customFormat="1" ht="12.75" customHeight="1" x14ac:dyDescent="0.25">
      <c r="A16" s="50" t="s">
        <v>23</v>
      </c>
      <c r="B16" s="70">
        <v>728949</v>
      </c>
      <c r="C16" s="70">
        <v>726281</v>
      </c>
      <c r="D16" s="70">
        <v>552774</v>
      </c>
      <c r="E16" s="70">
        <v>479390</v>
      </c>
      <c r="F16" s="70">
        <v>394505</v>
      </c>
      <c r="G16" s="70">
        <v>348245</v>
      </c>
      <c r="H16" s="70">
        <v>303037</v>
      </c>
      <c r="I16" s="70">
        <v>248792</v>
      </c>
      <c r="J16" s="70">
        <v>231155</v>
      </c>
      <c r="K16" s="70">
        <v>201146</v>
      </c>
    </row>
    <row r="17" spans="1:12" s="40" customFormat="1" ht="12.75" customHeight="1" x14ac:dyDescent="0.25">
      <c r="A17" s="59" t="s">
        <v>24</v>
      </c>
      <c r="B17" s="70">
        <v>563778</v>
      </c>
      <c r="C17" s="70">
        <v>563371</v>
      </c>
      <c r="D17" s="70">
        <v>428388</v>
      </c>
      <c r="E17" s="70">
        <v>374957</v>
      </c>
      <c r="F17" s="70">
        <v>314793</v>
      </c>
      <c r="G17" s="70">
        <v>275512</v>
      </c>
      <c r="H17" s="70">
        <v>237354</v>
      </c>
      <c r="I17" s="70">
        <v>198979</v>
      </c>
      <c r="J17" s="70">
        <v>184706</v>
      </c>
      <c r="K17" s="70">
        <v>153782</v>
      </c>
    </row>
    <row r="18" spans="1:12" s="40" customFormat="1" ht="12.75" customHeight="1" x14ac:dyDescent="0.25">
      <c r="A18" s="50" t="s">
        <v>25</v>
      </c>
      <c r="B18" s="70">
        <v>7599519</v>
      </c>
      <c r="C18" s="70">
        <v>8706063</v>
      </c>
      <c r="D18" s="70">
        <v>6223476</v>
      </c>
      <c r="E18" s="70">
        <v>4635715</v>
      </c>
      <c r="F18" s="70">
        <v>2320198</v>
      </c>
      <c r="G18" s="70">
        <v>2651650</v>
      </c>
      <c r="H18" s="70">
        <v>1815956</v>
      </c>
      <c r="I18" s="70">
        <v>2132839</v>
      </c>
      <c r="J18" s="70">
        <v>1492529</v>
      </c>
      <c r="K18" s="70">
        <v>1177658</v>
      </c>
    </row>
    <row r="19" spans="1:12" s="40" customFormat="1" ht="12.75" customHeight="1" x14ac:dyDescent="0.25">
      <c r="A19" s="50" t="s">
        <v>26</v>
      </c>
      <c r="B19" s="70">
        <v>5854474</v>
      </c>
      <c r="C19" s="70">
        <v>7653027</v>
      </c>
      <c r="D19" s="70">
        <v>3219982</v>
      </c>
      <c r="E19" s="70">
        <v>2606544</v>
      </c>
      <c r="F19" s="70">
        <v>2320198</v>
      </c>
      <c r="G19" s="70">
        <v>2651650</v>
      </c>
      <c r="H19" s="70">
        <v>1815956</v>
      </c>
      <c r="I19" s="70">
        <v>2132839</v>
      </c>
      <c r="J19" s="70">
        <v>1492529</v>
      </c>
      <c r="K19" s="70">
        <v>1177658</v>
      </c>
    </row>
    <row r="20" spans="1:12" s="40" customFormat="1" ht="12" customHeight="1" x14ac:dyDescent="0.25">
      <c r="A20" s="60"/>
      <c r="B20" s="60"/>
      <c r="C20" s="60"/>
      <c r="D20" s="60"/>
      <c r="E20" s="60"/>
      <c r="F20" s="116"/>
      <c r="G20" s="116"/>
      <c r="H20" s="116"/>
      <c r="I20" s="116"/>
      <c r="J20" s="116"/>
      <c r="K20" s="116"/>
    </row>
    <row r="21" spans="1:12" s="40" customFormat="1" ht="12" customHeight="1" x14ac:dyDescent="0.25">
      <c r="A21" s="49" t="s">
        <v>27</v>
      </c>
      <c r="B21" s="49"/>
      <c r="C21" s="49"/>
      <c r="D21" s="49"/>
      <c r="E21" s="49"/>
      <c r="F21" s="49"/>
      <c r="G21" s="2"/>
      <c r="H21" s="117"/>
      <c r="I21" s="117"/>
      <c r="J21" s="117"/>
      <c r="K21" s="127"/>
    </row>
    <row r="22" spans="1:12" s="40" customFormat="1" ht="12.75" customHeight="1" x14ac:dyDescent="0.25">
      <c r="A22" s="61" t="s">
        <v>28</v>
      </c>
      <c r="B22" s="129">
        <v>20.100000000000001</v>
      </c>
      <c r="C22" s="129">
        <v>22.3</v>
      </c>
      <c r="D22" s="129">
        <v>17.5</v>
      </c>
      <c r="E22" s="129">
        <v>19.399999999999999</v>
      </c>
      <c r="F22" s="129">
        <v>19.7</v>
      </c>
      <c r="G22" s="129">
        <v>21.4</v>
      </c>
      <c r="H22" s="130">
        <v>17.8</v>
      </c>
      <c r="I22" s="130">
        <v>16.7</v>
      </c>
      <c r="J22" s="129">
        <v>17.7</v>
      </c>
      <c r="K22" s="129">
        <v>17.3</v>
      </c>
      <c r="L22" s="118"/>
    </row>
    <row r="23" spans="1:12" s="40" customFormat="1" ht="12.75" customHeight="1" x14ac:dyDescent="0.25">
      <c r="A23" s="61" t="s">
        <v>29</v>
      </c>
      <c r="B23" s="129">
        <v>20.100000000000001</v>
      </c>
      <c r="C23" s="129">
        <v>18.899999999999999</v>
      </c>
      <c r="D23" s="228" t="s">
        <v>14</v>
      </c>
      <c r="E23" s="228" t="s">
        <v>14</v>
      </c>
      <c r="F23" s="228" t="s">
        <v>14</v>
      </c>
      <c r="G23" s="228" t="s">
        <v>14</v>
      </c>
      <c r="H23" s="228" t="s">
        <v>14</v>
      </c>
      <c r="I23" s="228" t="s">
        <v>14</v>
      </c>
      <c r="J23" s="228" t="s">
        <v>14</v>
      </c>
      <c r="K23" s="228" t="s">
        <v>14</v>
      </c>
      <c r="L23" s="118"/>
    </row>
    <row r="24" spans="1:12" s="40" customFormat="1" ht="12.75" customHeight="1" x14ac:dyDescent="0.25">
      <c r="A24" s="61" t="s">
        <v>30</v>
      </c>
      <c r="B24" s="72">
        <v>20.6</v>
      </c>
      <c r="C24" s="72">
        <v>22.4</v>
      </c>
      <c r="D24" s="72">
        <v>18.7</v>
      </c>
      <c r="E24" s="72">
        <v>20.399999999999999</v>
      </c>
      <c r="F24" s="72">
        <v>20.2</v>
      </c>
      <c r="G24" s="72">
        <v>21.3</v>
      </c>
      <c r="H24" s="130">
        <v>18.2</v>
      </c>
      <c r="I24" s="130">
        <v>17.600000000000001</v>
      </c>
      <c r="J24" s="130">
        <v>19.100000000000001</v>
      </c>
      <c r="K24" s="130">
        <v>17.899999999999999</v>
      </c>
    </row>
    <row r="25" spans="1:12" s="40" customFormat="1" ht="12.75" customHeight="1" x14ac:dyDescent="0.25">
      <c r="A25" s="65" t="s">
        <v>31</v>
      </c>
      <c r="B25" s="147">
        <v>34.799999999999997</v>
      </c>
      <c r="C25" s="147">
        <v>40.5</v>
      </c>
      <c r="D25" s="147">
        <v>37.299999999999997</v>
      </c>
      <c r="E25" s="147">
        <v>38.200000000000003</v>
      </c>
      <c r="F25" s="147">
        <v>37.5</v>
      </c>
      <c r="G25" s="147">
        <v>37.4</v>
      </c>
      <c r="H25" s="130">
        <v>36.799999999999997</v>
      </c>
      <c r="I25" s="130">
        <v>35.9</v>
      </c>
      <c r="J25" s="129">
        <v>34.5</v>
      </c>
      <c r="K25" s="129">
        <v>30.9</v>
      </c>
    </row>
    <row r="26" spans="1:12" s="40" customFormat="1" ht="12.75" customHeight="1" x14ac:dyDescent="0.25">
      <c r="A26" s="64" t="s">
        <v>32</v>
      </c>
      <c r="B26" s="147">
        <v>27.8</v>
      </c>
      <c r="C26" s="147">
        <v>32.299999999999997</v>
      </c>
      <c r="D26" s="147">
        <v>29.9</v>
      </c>
      <c r="E26" s="147">
        <v>31.5</v>
      </c>
      <c r="F26" s="147">
        <v>31.9</v>
      </c>
      <c r="G26" s="147">
        <v>32.200000000000003</v>
      </c>
      <c r="H26" s="148">
        <v>30.7</v>
      </c>
      <c r="I26" s="148">
        <v>29.8</v>
      </c>
      <c r="J26" s="129">
        <v>30.4</v>
      </c>
      <c r="K26" s="129">
        <v>26.5</v>
      </c>
    </row>
    <row r="27" spans="1:12" s="40" customFormat="1" ht="10.5" x14ac:dyDescent="0.25">
      <c r="A27" s="56"/>
      <c r="B27" s="56"/>
      <c r="C27" s="56"/>
      <c r="D27" s="56"/>
      <c r="E27" s="56"/>
      <c r="F27" s="56"/>
      <c r="G27" s="73"/>
      <c r="H27" s="56"/>
      <c r="I27" s="56"/>
      <c r="J27" s="73"/>
      <c r="K27" s="73"/>
    </row>
    <row r="28" spans="1:12" s="40" customFormat="1" ht="10.5" x14ac:dyDescent="0.25">
      <c r="A28" s="49" t="s">
        <v>33</v>
      </c>
      <c r="B28" s="49"/>
      <c r="C28" s="49"/>
      <c r="D28" s="49"/>
      <c r="E28" s="49"/>
      <c r="F28" s="49"/>
      <c r="G28" s="2"/>
      <c r="H28" s="49"/>
      <c r="I28" s="49"/>
      <c r="J28" s="2"/>
      <c r="K28" s="2"/>
    </row>
    <row r="29" spans="1:12" s="40" customFormat="1" ht="10.5" x14ac:dyDescent="0.25">
      <c r="A29" s="51" t="s">
        <v>34</v>
      </c>
      <c r="B29" s="207">
        <v>2214.8000000000002</v>
      </c>
      <c r="C29" s="207">
        <v>2004.3</v>
      </c>
      <c r="D29" s="207">
        <v>1601.4</v>
      </c>
      <c r="E29" s="207">
        <v>1378.9</v>
      </c>
      <c r="F29" s="207">
        <v>1143.4000000000001</v>
      </c>
      <c r="G29" s="74">
        <v>969.1</v>
      </c>
      <c r="H29" s="74">
        <v>604.6</v>
      </c>
      <c r="I29" s="74">
        <v>759.4</v>
      </c>
      <c r="J29" s="74">
        <v>717.6</v>
      </c>
      <c r="K29" s="74">
        <v>691.6</v>
      </c>
    </row>
    <row r="30" spans="1:12" s="40" customFormat="1" ht="10.5" x14ac:dyDescent="0.25">
      <c r="A30" s="52" t="s">
        <v>35</v>
      </c>
      <c r="B30" s="179">
        <v>45.8</v>
      </c>
      <c r="C30" s="179">
        <v>46.9</v>
      </c>
      <c r="D30" s="179">
        <v>49.8</v>
      </c>
      <c r="E30" s="179">
        <v>51.7</v>
      </c>
      <c r="F30" s="179">
        <v>49.9</v>
      </c>
      <c r="G30" s="179">
        <v>46.3</v>
      </c>
      <c r="H30" s="147">
        <v>49.2</v>
      </c>
      <c r="I30" s="147">
        <v>56.8</v>
      </c>
      <c r="J30" s="147">
        <v>55.3</v>
      </c>
      <c r="K30" s="147">
        <v>52.5</v>
      </c>
    </row>
    <row r="31" spans="1:12" s="40" customFormat="1" ht="12" customHeight="1" x14ac:dyDescent="0.25">
      <c r="A31" s="52" t="s">
        <v>36</v>
      </c>
      <c r="B31" s="179">
        <v>666.6</v>
      </c>
      <c r="C31" s="179">
        <v>563.20000000000005</v>
      </c>
      <c r="D31" s="179">
        <v>474.8</v>
      </c>
      <c r="E31" s="179">
        <v>344.8</v>
      </c>
      <c r="F31" s="179">
        <v>295.2</v>
      </c>
      <c r="G31" s="179">
        <v>289.60000000000002</v>
      </c>
      <c r="H31" s="147">
        <v>294.7</v>
      </c>
      <c r="I31" s="129">
        <v>166</v>
      </c>
      <c r="J31" s="129">
        <v>176</v>
      </c>
      <c r="K31" s="147">
        <v>168.9</v>
      </c>
    </row>
    <row r="32" spans="1:12" s="40" customFormat="1" ht="10.5" x14ac:dyDescent="0.25">
      <c r="A32" s="61" t="s">
        <v>37</v>
      </c>
      <c r="B32" s="72">
        <v>1.6</v>
      </c>
      <c r="C32" s="72">
        <v>1.7</v>
      </c>
      <c r="D32" s="72">
        <v>1.6</v>
      </c>
      <c r="E32" s="72">
        <v>1.6</v>
      </c>
      <c r="F32" s="72">
        <v>1.6</v>
      </c>
      <c r="G32" s="72">
        <v>1.8</v>
      </c>
      <c r="H32" s="72">
        <v>1.7</v>
      </c>
      <c r="I32" s="72">
        <v>1.7</v>
      </c>
      <c r="J32" s="72">
        <v>1.6</v>
      </c>
      <c r="K32" s="72">
        <v>1.7</v>
      </c>
    </row>
    <row r="33" spans="1:12" s="40" customFormat="1" ht="12" customHeight="1" x14ac:dyDescent="0.25">
      <c r="A33" s="61" t="s">
        <v>38</v>
      </c>
      <c r="B33" s="130">
        <v>47.8</v>
      </c>
      <c r="C33" s="130">
        <v>51</v>
      </c>
      <c r="D33" s="72">
        <v>48.9</v>
      </c>
      <c r="E33" s="72">
        <v>47.4</v>
      </c>
      <c r="F33" s="72">
        <v>49.3</v>
      </c>
      <c r="G33" s="72">
        <v>54.2</v>
      </c>
      <c r="H33" s="72">
        <v>54.1</v>
      </c>
      <c r="I33" s="72">
        <v>55.4</v>
      </c>
      <c r="J33" s="72">
        <v>51.4</v>
      </c>
      <c r="K33" s="72">
        <v>50.5</v>
      </c>
    </row>
    <row r="34" spans="1:12" s="40" customFormat="1" ht="12" customHeight="1" x14ac:dyDescent="0.25">
      <c r="A34" s="61" t="s">
        <v>39</v>
      </c>
      <c r="B34" s="72">
        <v>0.04</v>
      </c>
      <c r="C34" s="72">
        <v>0.05</v>
      </c>
      <c r="D34" s="72">
        <v>0.02</v>
      </c>
      <c r="E34" s="72">
        <v>0.06</v>
      </c>
      <c r="F34" s="72">
        <v>0.06</v>
      </c>
      <c r="G34" s="72">
        <v>0.08</v>
      </c>
      <c r="H34" s="72">
        <v>0.11</v>
      </c>
      <c r="I34" s="72">
        <v>0.04</v>
      </c>
      <c r="J34" s="72">
        <v>0.09</v>
      </c>
      <c r="K34" s="72">
        <v>0.13</v>
      </c>
    </row>
    <row r="35" spans="1:12" s="40" customFormat="1" ht="12" customHeight="1" x14ac:dyDescent="0.25">
      <c r="A35" s="61" t="s">
        <v>40</v>
      </c>
      <c r="B35" s="176">
        <v>188.6</v>
      </c>
      <c r="C35" s="176">
        <v>110</v>
      </c>
      <c r="D35" s="176">
        <v>256.10000000000002</v>
      </c>
      <c r="E35" s="176">
        <f>92.8+120</f>
        <v>212.8</v>
      </c>
      <c r="F35" s="176">
        <v>74.400000000000006</v>
      </c>
      <c r="G35" s="176">
        <v>67.7</v>
      </c>
      <c r="H35" s="130">
        <v>78.5</v>
      </c>
      <c r="I35" s="130">
        <v>34.9</v>
      </c>
      <c r="J35" s="130">
        <v>23</v>
      </c>
      <c r="K35" s="130">
        <v>17.5</v>
      </c>
    </row>
    <row r="36" spans="1:12" s="40" customFormat="1" ht="10.5" x14ac:dyDescent="0.25">
      <c r="A36" s="49"/>
      <c r="B36" s="49"/>
      <c r="C36" s="49"/>
      <c r="D36" s="49"/>
      <c r="E36" s="49"/>
      <c r="F36" s="49"/>
      <c r="G36" s="2"/>
      <c r="H36" s="68"/>
      <c r="I36" s="68"/>
      <c r="J36" s="49"/>
      <c r="K36" s="2"/>
    </row>
    <row r="37" spans="1:12" s="40" customFormat="1" ht="12" customHeight="1" x14ac:dyDescent="0.25">
      <c r="A37" s="49" t="s">
        <v>41</v>
      </c>
      <c r="B37" s="49"/>
      <c r="C37" s="49"/>
      <c r="D37" s="49"/>
      <c r="E37" s="49"/>
      <c r="F37" s="49"/>
      <c r="G37" s="2"/>
      <c r="H37" s="68"/>
      <c r="I37" s="68"/>
      <c r="J37" s="49"/>
      <c r="K37" s="2"/>
    </row>
    <row r="38" spans="1:12" s="40" customFormat="1" ht="12" customHeight="1" x14ac:dyDescent="0.25">
      <c r="A38" s="53" t="s">
        <v>235</v>
      </c>
      <c r="B38" s="237">
        <v>742155</v>
      </c>
      <c r="C38" s="237">
        <v>757970</v>
      </c>
      <c r="D38" s="237">
        <v>564907</v>
      </c>
      <c r="E38" s="237">
        <v>515156</v>
      </c>
      <c r="F38" s="75">
        <v>389794</v>
      </c>
      <c r="G38" s="75">
        <v>382143</v>
      </c>
      <c r="H38" s="75">
        <v>327274</v>
      </c>
      <c r="I38" s="75">
        <v>209299</v>
      </c>
      <c r="J38" s="75">
        <v>225355</v>
      </c>
      <c r="K38" s="75">
        <v>197774</v>
      </c>
    </row>
    <row r="39" spans="1:12" s="40" customFormat="1" ht="10.5" x14ac:dyDescent="0.25">
      <c r="A39" s="50" t="s">
        <v>239</v>
      </c>
      <c r="B39" s="70">
        <v>1097318</v>
      </c>
      <c r="C39" s="70">
        <v>922364</v>
      </c>
      <c r="D39" s="70">
        <v>326326</v>
      </c>
      <c r="E39" s="70">
        <v>440488</v>
      </c>
      <c r="F39" s="70">
        <v>616922</v>
      </c>
      <c r="G39" s="70">
        <v>372187</v>
      </c>
      <c r="H39" s="70">
        <v>296272</v>
      </c>
      <c r="I39" s="70">
        <v>252542</v>
      </c>
      <c r="J39" s="70">
        <v>207531</v>
      </c>
      <c r="K39" s="70">
        <v>192069</v>
      </c>
    </row>
    <row r="40" spans="1:12" s="40" customFormat="1" ht="12" customHeight="1" x14ac:dyDescent="0.25">
      <c r="A40" s="50" t="s">
        <v>294</v>
      </c>
      <c r="B40" s="70">
        <v>-207463</v>
      </c>
      <c r="C40" s="70">
        <v>-113864</v>
      </c>
      <c r="D40" s="70">
        <v>-130742</v>
      </c>
      <c r="E40" s="70">
        <v>-212788</v>
      </c>
      <c r="F40" s="70">
        <v>-68346</v>
      </c>
      <c r="G40" s="70">
        <v>-66820</v>
      </c>
      <c r="H40" s="70">
        <v>-78536</v>
      </c>
      <c r="I40" s="70">
        <v>-34875</v>
      </c>
      <c r="J40" s="70">
        <v>-22993</v>
      </c>
      <c r="K40" s="70">
        <v>-17492</v>
      </c>
    </row>
    <row r="41" spans="1:12" s="40" customFormat="1" ht="10.5" x14ac:dyDescent="0.25">
      <c r="A41" s="50" t="s">
        <v>295</v>
      </c>
      <c r="B41" s="70">
        <v>-428429</v>
      </c>
      <c r="C41" s="70">
        <v>-251885</v>
      </c>
      <c r="D41" s="70">
        <v>-222203</v>
      </c>
      <c r="E41" s="70">
        <v>-219289</v>
      </c>
      <c r="F41" s="70">
        <v>-198748</v>
      </c>
      <c r="G41" s="70">
        <v>-198688</v>
      </c>
      <c r="H41" s="70">
        <v>-196543</v>
      </c>
      <c r="I41" s="70">
        <v>-168933</v>
      </c>
      <c r="J41" s="70">
        <v>-172604</v>
      </c>
      <c r="K41" s="70">
        <v>-146084</v>
      </c>
    </row>
    <row r="42" spans="1:12" s="40" customFormat="1" ht="10.5" x14ac:dyDescent="0.25">
      <c r="A42" s="71" t="s">
        <v>238</v>
      </c>
      <c r="B42" s="70">
        <v>461426</v>
      </c>
      <c r="C42" s="70">
        <v>556615</v>
      </c>
      <c r="D42" s="70">
        <v>-26619</v>
      </c>
      <c r="E42" s="70">
        <v>8411</v>
      </c>
      <c r="F42" s="70">
        <v>349828</v>
      </c>
      <c r="G42" s="70">
        <v>106679</v>
      </c>
      <c r="H42" s="70">
        <v>21193</v>
      </c>
      <c r="I42" s="70">
        <v>48734</v>
      </c>
      <c r="J42" s="70">
        <v>11934</v>
      </c>
      <c r="K42" s="70">
        <v>28493</v>
      </c>
    </row>
    <row r="43" spans="1:12" s="40" customFormat="1" ht="12" customHeight="1" x14ac:dyDescent="0.25">
      <c r="A43" s="49"/>
      <c r="B43" s="49"/>
      <c r="C43" s="49"/>
      <c r="D43" s="49"/>
      <c r="E43" s="49"/>
      <c r="F43" s="49"/>
      <c r="G43" s="2"/>
      <c r="H43" s="128"/>
      <c r="I43" s="128"/>
      <c r="J43" s="128"/>
      <c r="K43" s="128"/>
    </row>
    <row r="44" spans="1:12" s="40" customFormat="1" ht="12" customHeight="1" x14ac:dyDescent="0.25">
      <c r="A44" s="49" t="s">
        <v>42</v>
      </c>
      <c r="B44" s="49"/>
      <c r="C44" s="49"/>
      <c r="D44" s="49"/>
      <c r="E44" s="49"/>
      <c r="F44" s="49"/>
      <c r="H44" s="119"/>
      <c r="I44" s="119"/>
      <c r="J44" s="119"/>
      <c r="K44" s="119"/>
    </row>
    <row r="45" spans="1:12" s="40" customFormat="1" ht="10.5" x14ac:dyDescent="0.25">
      <c r="A45" s="51" t="s">
        <v>43</v>
      </c>
      <c r="B45" s="234">
        <v>1331</v>
      </c>
      <c r="C45" s="234">
        <v>1249</v>
      </c>
      <c r="D45" s="234">
        <v>1140</v>
      </c>
      <c r="E45" s="234">
        <v>1015</v>
      </c>
      <c r="F45" s="74">
        <v>908</v>
      </c>
      <c r="G45" s="74">
        <v>828</v>
      </c>
      <c r="H45" s="74">
        <v>780</v>
      </c>
      <c r="I45" s="74">
        <v>706</v>
      </c>
      <c r="J45" s="74">
        <v>645</v>
      </c>
      <c r="K45" s="74">
        <v>616</v>
      </c>
    </row>
    <row r="46" spans="1:12" s="40" customFormat="1" ht="10.5" x14ac:dyDescent="0.25">
      <c r="A46" s="61" t="s">
        <v>44</v>
      </c>
      <c r="B46" s="234">
        <v>1385</v>
      </c>
      <c r="C46" s="234">
        <v>1296</v>
      </c>
      <c r="D46" s="234">
        <v>1204</v>
      </c>
      <c r="E46" s="234">
        <v>1093</v>
      </c>
      <c r="F46" s="72">
        <v>982</v>
      </c>
      <c r="G46" s="72">
        <v>876</v>
      </c>
      <c r="H46" s="72">
        <v>820</v>
      </c>
      <c r="I46" s="72">
        <v>746</v>
      </c>
      <c r="J46" s="72">
        <v>674</v>
      </c>
      <c r="K46" s="72">
        <v>638</v>
      </c>
    </row>
    <row r="47" spans="1:12" s="40" customFormat="1" ht="10.5" x14ac:dyDescent="0.25">
      <c r="A47" s="66" t="s">
        <v>45</v>
      </c>
      <c r="B47" s="176">
        <v>2.7</v>
      </c>
      <c r="C47" s="176">
        <v>2.6</v>
      </c>
      <c r="D47" s="176">
        <v>2.6</v>
      </c>
      <c r="E47" s="176">
        <v>2.2999999999999998</v>
      </c>
      <c r="F47" s="176">
        <v>2.1</v>
      </c>
      <c r="G47" s="176">
        <v>1.9</v>
      </c>
      <c r="H47" s="63">
        <v>2</v>
      </c>
      <c r="I47" s="63">
        <v>1.9</v>
      </c>
      <c r="J47" s="63">
        <v>1.8</v>
      </c>
      <c r="K47" s="63">
        <v>1.8</v>
      </c>
      <c r="L47" s="120"/>
    </row>
    <row r="48" spans="1:12" s="40" customFormat="1" ht="12" customHeight="1" x14ac:dyDescent="0.25">
      <c r="A48" s="49"/>
      <c r="B48" s="49"/>
      <c r="C48" s="49"/>
      <c r="D48" s="49"/>
      <c r="E48" s="49"/>
      <c r="F48" s="49"/>
      <c r="G48" s="2"/>
      <c r="H48" s="119"/>
      <c r="I48" s="119"/>
      <c r="J48" s="119"/>
      <c r="K48" s="119"/>
    </row>
    <row r="49" spans="1:13" s="40" customFormat="1" ht="12" customHeight="1" x14ac:dyDescent="0.25">
      <c r="A49" s="49" t="s">
        <v>46</v>
      </c>
      <c r="B49" s="49"/>
      <c r="C49" s="49"/>
      <c r="D49" s="49"/>
      <c r="E49" s="49"/>
      <c r="F49" s="49"/>
      <c r="H49" s="68"/>
      <c r="I49" s="68"/>
      <c r="J49" s="2"/>
      <c r="K49" s="2"/>
    </row>
    <row r="50" spans="1:13" s="40" customFormat="1" ht="12" customHeight="1" x14ac:dyDescent="0.25">
      <c r="A50" s="53" t="s">
        <v>47</v>
      </c>
      <c r="B50" s="208">
        <v>2.2999999999999998</v>
      </c>
      <c r="C50" s="208">
        <v>2.1</v>
      </c>
      <c r="D50" s="208">
        <v>1.1000000000000001</v>
      </c>
      <c r="E50" s="208">
        <v>1.1000000000000001</v>
      </c>
      <c r="F50" s="208">
        <v>1</v>
      </c>
      <c r="G50" s="227">
        <f t="shared" ref="G50:K50" si="0">4.5/5</f>
        <v>0.9</v>
      </c>
      <c r="H50" s="203">
        <f t="shared" si="0"/>
        <v>0.9</v>
      </c>
      <c r="I50" s="203">
        <f t="shared" si="0"/>
        <v>0.9</v>
      </c>
      <c r="J50" s="203">
        <f t="shared" si="0"/>
        <v>0.9</v>
      </c>
      <c r="K50" s="203">
        <f t="shared" si="0"/>
        <v>0.9</v>
      </c>
    </row>
    <row r="51" spans="1:13" s="40" customFormat="1" ht="12" customHeight="1" x14ac:dyDescent="0.25">
      <c r="A51" s="66" t="s">
        <v>48</v>
      </c>
      <c r="B51" s="66">
        <v>0.9</v>
      </c>
      <c r="C51" s="66">
        <v>0.7</v>
      </c>
      <c r="D51" s="66">
        <v>0.5</v>
      </c>
      <c r="E51" s="66">
        <v>0.7</v>
      </c>
      <c r="F51" s="66">
        <v>0.8</v>
      </c>
      <c r="G51" s="62">
        <v>0.7</v>
      </c>
      <c r="H51" s="62">
        <v>1.1000000000000001</v>
      </c>
      <c r="I51" s="62">
        <v>1.4</v>
      </c>
      <c r="J51" s="62">
        <v>2.2999999999999998</v>
      </c>
      <c r="K51" s="62">
        <v>2.8</v>
      </c>
    </row>
    <row r="52" spans="1:13" s="40" customFormat="1" ht="12" customHeight="1" x14ac:dyDescent="0.25">
      <c r="A52" s="66" t="s">
        <v>49</v>
      </c>
      <c r="B52" s="66">
        <v>2.93</v>
      </c>
      <c r="C52" s="66">
        <v>2.92</v>
      </c>
      <c r="D52" s="66">
        <v>2.2200000000000002</v>
      </c>
      <c r="E52" s="66">
        <v>1.95</v>
      </c>
      <c r="F52" s="66">
        <v>1.63</v>
      </c>
      <c r="G52" s="202">
        <f>7.15/5</f>
        <v>1.4300000000000002</v>
      </c>
      <c r="H52" s="202">
        <f>6.18/5</f>
        <v>1.236</v>
      </c>
      <c r="I52" s="202">
        <f>5.21/5</f>
        <v>1.042</v>
      </c>
      <c r="J52" s="202">
        <f>4.86/5</f>
        <v>0.97200000000000009</v>
      </c>
      <c r="K52" s="202">
        <f>4.07/5</f>
        <v>0.81400000000000006</v>
      </c>
    </row>
    <row r="53" spans="1:13" s="40" customFormat="1" ht="12" customHeight="1" x14ac:dyDescent="0.25">
      <c r="A53" s="66" t="s">
        <v>50</v>
      </c>
      <c r="B53" s="66">
        <v>2.93</v>
      </c>
      <c r="C53" s="66">
        <v>2.92</v>
      </c>
      <c r="D53" s="66">
        <v>2.2200000000000002</v>
      </c>
      <c r="E53" s="66">
        <v>1.95</v>
      </c>
      <c r="F53" s="66">
        <v>1.63</v>
      </c>
      <c r="G53" s="202">
        <f>7.15/5</f>
        <v>1.4300000000000002</v>
      </c>
      <c r="H53" s="202">
        <f>6.16/5</f>
        <v>1.232</v>
      </c>
      <c r="I53" s="202">
        <f>5.17/5</f>
        <v>1.034</v>
      </c>
      <c r="J53" s="202">
        <f>4.8/5</f>
        <v>0.96</v>
      </c>
      <c r="K53" s="202">
        <f>4/5</f>
        <v>0.8</v>
      </c>
    </row>
    <row r="54" spans="1:13" s="40" customFormat="1" ht="12" customHeight="1" x14ac:dyDescent="0.25">
      <c r="A54" s="66" t="s">
        <v>270</v>
      </c>
      <c r="B54" s="209">
        <v>5.7</v>
      </c>
      <c r="C54" s="209">
        <v>4.79</v>
      </c>
      <c r="D54" s="209">
        <v>1.69</v>
      </c>
      <c r="E54" s="209">
        <v>2.29</v>
      </c>
      <c r="F54" s="209">
        <v>3.2</v>
      </c>
      <c r="G54" s="202">
        <f>9.66/5</f>
        <v>1.9319999999999999</v>
      </c>
      <c r="H54" s="202">
        <f>7.69/5</f>
        <v>1.538</v>
      </c>
      <c r="I54" s="202">
        <f>6.54/5</f>
        <v>1.3080000000000001</v>
      </c>
      <c r="J54" s="202">
        <f>5.44/5</f>
        <v>1.0880000000000001</v>
      </c>
      <c r="K54" s="202">
        <f>5.07/5</f>
        <v>1.014</v>
      </c>
    </row>
    <row r="55" spans="1:13" s="40" customFormat="1" ht="12" customHeight="1" x14ac:dyDescent="0.25">
      <c r="A55" s="66" t="s">
        <v>296</v>
      </c>
      <c r="B55" s="209">
        <v>5.7</v>
      </c>
      <c r="C55" s="209">
        <v>4.79</v>
      </c>
      <c r="D55" s="209">
        <v>1.69</v>
      </c>
      <c r="E55" s="209">
        <v>2.29</v>
      </c>
      <c r="F55" s="209">
        <v>3.2</v>
      </c>
      <c r="G55" s="189">
        <f>9.66/5</f>
        <v>1.9319999999999999</v>
      </c>
      <c r="H55" s="190">
        <f>7.69/5</f>
        <v>1.538</v>
      </c>
      <c r="I55" s="190">
        <f>6.51/5</f>
        <v>1.302</v>
      </c>
      <c r="J55" s="190">
        <f>5.39/5</f>
        <v>1.0779999999999998</v>
      </c>
      <c r="K55" s="190">
        <f>4.99/5</f>
        <v>0.998</v>
      </c>
      <c r="M55" s="180"/>
    </row>
    <row r="56" spans="1:13" s="40" customFormat="1" ht="12" customHeight="1" x14ac:dyDescent="0.25">
      <c r="A56" s="66" t="s">
        <v>51</v>
      </c>
      <c r="B56" s="209">
        <v>11.1</v>
      </c>
      <c r="C56" s="66">
        <v>9.9499999999999993</v>
      </c>
      <c r="D56" s="66">
        <v>8.15</v>
      </c>
      <c r="E56" s="66">
        <v>6.73</v>
      </c>
      <c r="F56" s="66">
        <v>5.61</v>
      </c>
      <c r="G56" s="189">
        <f>23.25/5</f>
        <v>4.6500000000000004</v>
      </c>
      <c r="H56" s="190">
        <f>21.22/5</f>
        <v>4.2439999999999998</v>
      </c>
      <c r="I56" s="190">
        <f>18.98/5</f>
        <v>3.7960000000000003</v>
      </c>
      <c r="J56" s="190">
        <f>17.34/5</f>
        <v>3.468</v>
      </c>
      <c r="K56" s="190">
        <f>16.21/5</f>
        <v>3.242</v>
      </c>
    </row>
    <row r="57" spans="1:13" s="40" customFormat="1" ht="12" customHeight="1" x14ac:dyDescent="0.25">
      <c r="A57" s="66" t="s">
        <v>52</v>
      </c>
      <c r="B57" s="209">
        <v>11.1</v>
      </c>
      <c r="C57" s="66">
        <v>9.9499999999999993</v>
      </c>
      <c r="D57" s="66">
        <v>8.15</v>
      </c>
      <c r="E57" s="66">
        <v>6.73</v>
      </c>
      <c r="F57" s="66">
        <v>5.61</v>
      </c>
      <c r="G57" s="189">
        <f>23.24/5</f>
        <v>4.6479999999999997</v>
      </c>
      <c r="H57" s="190">
        <f>21.21/5</f>
        <v>4.242</v>
      </c>
      <c r="I57" s="190">
        <f>18.89/5</f>
        <v>3.778</v>
      </c>
      <c r="J57" s="190">
        <f>17.16/5</f>
        <v>3.4319999999999999</v>
      </c>
      <c r="K57" s="190">
        <f>15.95/5</f>
        <v>3.19</v>
      </c>
    </row>
    <row r="58" spans="1:13" s="40" customFormat="1" ht="12" customHeight="1" x14ac:dyDescent="0.25">
      <c r="A58" s="66" t="s">
        <v>53</v>
      </c>
      <c r="B58" s="76">
        <v>192667489</v>
      </c>
      <c r="C58" s="76">
        <v>192667489</v>
      </c>
      <c r="D58" s="76">
        <v>192667489</v>
      </c>
      <c r="E58" s="76">
        <v>192667489</v>
      </c>
      <c r="F58" s="76">
        <v>192662325</v>
      </c>
      <c r="G58" s="76">
        <f>38525494*5</f>
        <v>192627470</v>
      </c>
      <c r="H58" s="76">
        <f>38506020*5</f>
        <v>192530100</v>
      </c>
      <c r="I58" s="76">
        <f>38352871*5</f>
        <v>191764355</v>
      </c>
      <c r="J58" s="76">
        <f>38119669*5</f>
        <v>190598345</v>
      </c>
      <c r="K58" s="76">
        <f>37890085*5</f>
        <v>189450425</v>
      </c>
    </row>
    <row r="59" spans="1:13" s="40" customFormat="1" ht="12" customHeight="1" x14ac:dyDescent="0.25">
      <c r="A59" s="66" t="s">
        <v>54</v>
      </c>
      <c r="B59" s="76">
        <v>192667489</v>
      </c>
      <c r="C59" s="76">
        <v>192667489</v>
      </c>
      <c r="D59" s="76">
        <v>192667489</v>
      </c>
      <c r="E59" s="76">
        <v>192664046</v>
      </c>
      <c r="F59" s="76">
        <v>192639088</v>
      </c>
      <c r="G59" s="76">
        <f>38514134*5</f>
        <v>192570670</v>
      </c>
      <c r="H59" s="76">
        <f>38416683*5</f>
        <v>192083415</v>
      </c>
      <c r="I59" s="76">
        <f>38197403*5</f>
        <v>190987015</v>
      </c>
      <c r="J59" s="76">
        <f>38012454*5</f>
        <v>190062270</v>
      </c>
      <c r="K59" s="76">
        <f>37772864*5</f>
        <v>188864320</v>
      </c>
    </row>
    <row r="60" spans="1:13" s="40" customFormat="1" ht="12" customHeight="1" x14ac:dyDescent="0.25">
      <c r="A60" s="66" t="s">
        <v>55</v>
      </c>
      <c r="B60" s="66">
        <v>255.2</v>
      </c>
      <c r="C60" s="66">
        <v>296.60000000000002</v>
      </c>
      <c r="D60" s="66">
        <v>219.2</v>
      </c>
      <c r="E60" s="66">
        <v>161.69999999999999</v>
      </c>
      <c r="F60" s="66">
        <v>124.8</v>
      </c>
      <c r="G60" s="130">
        <f>605/5</f>
        <v>121</v>
      </c>
      <c r="H60" s="130">
        <f>420/5</f>
        <v>84</v>
      </c>
      <c r="I60" s="130">
        <f>322/5</f>
        <v>64.400000000000006</v>
      </c>
      <c r="J60" s="130">
        <f>194.2/5</f>
        <v>38.839999999999996</v>
      </c>
      <c r="K60" s="130">
        <f>162.5/5</f>
        <v>32.5</v>
      </c>
    </row>
    <row r="61" spans="1:13" s="40" customFormat="1" ht="12" customHeight="1" x14ac:dyDescent="0.25">
      <c r="A61" s="66" t="s">
        <v>56</v>
      </c>
      <c r="B61" s="66">
        <v>87.1</v>
      </c>
      <c r="C61" s="66">
        <v>101.6</v>
      </c>
      <c r="D61" s="66">
        <v>98.7</v>
      </c>
      <c r="E61" s="66">
        <v>82.9</v>
      </c>
      <c r="F61" s="66">
        <v>76.599999999999994</v>
      </c>
      <c r="G61" s="130">
        <v>84.6</v>
      </c>
      <c r="H61" s="130">
        <v>68</v>
      </c>
      <c r="I61" s="130">
        <v>61.8</v>
      </c>
      <c r="J61" s="130">
        <v>40</v>
      </c>
      <c r="K61" s="130">
        <v>39.9</v>
      </c>
    </row>
    <row r="62" spans="1:13" s="40" customFormat="1" ht="12" customHeight="1" x14ac:dyDescent="0.35">
      <c r="A62" s="67"/>
      <c r="B62" s="67"/>
      <c r="C62" s="67"/>
      <c r="D62" s="67"/>
      <c r="E62" s="67"/>
      <c r="F62" s="67"/>
      <c r="G62"/>
      <c r="H62" s="67"/>
      <c r="I62" s="67"/>
      <c r="J62" s="67"/>
      <c r="K62" s="67"/>
    </row>
    <row r="63" spans="1:13" s="40" customFormat="1" ht="12" customHeight="1" x14ac:dyDescent="0.35">
      <c r="A63" s="55"/>
      <c r="B63" s="55"/>
      <c r="C63" s="55"/>
      <c r="D63" s="55"/>
      <c r="E63" s="55"/>
      <c r="F63" s="55"/>
      <c r="G63"/>
      <c r="H63" s="55"/>
      <c r="I63" s="55"/>
      <c r="J63" s="55"/>
      <c r="K63" s="55"/>
    </row>
    <row r="64" spans="1:13" s="40" customFormat="1" ht="12" customHeight="1" x14ac:dyDescent="0.35">
      <c r="A64" s="55"/>
      <c r="B64" s="55"/>
      <c r="C64" s="55"/>
      <c r="D64" s="55"/>
      <c r="E64" s="55"/>
      <c r="F64" s="55"/>
      <c r="G64"/>
      <c r="H64" s="55"/>
      <c r="I64" s="55"/>
      <c r="J64" s="55"/>
      <c r="K64" s="55"/>
    </row>
    <row r="65" spans="1:11" s="40" customFormat="1" ht="12" customHeight="1" x14ac:dyDescent="0.35">
      <c r="A65" s="55"/>
      <c r="B65" s="55"/>
      <c r="C65" s="55"/>
      <c r="D65" s="55"/>
      <c r="E65" s="55"/>
      <c r="F65" s="55"/>
      <c r="G65"/>
      <c r="H65" s="55"/>
      <c r="I65" s="55"/>
      <c r="J65" s="55"/>
      <c r="K65" s="55"/>
    </row>
    <row r="66" spans="1:11" s="40" customFormat="1" ht="12" customHeight="1" x14ac:dyDescent="0.35">
      <c r="A66" s="55"/>
      <c r="B66" s="55"/>
      <c r="C66" s="55"/>
      <c r="D66" s="55"/>
      <c r="E66" s="55"/>
      <c r="F66" s="55"/>
      <c r="G66"/>
      <c r="H66" s="55"/>
      <c r="I66" s="55"/>
      <c r="J66" s="55"/>
      <c r="K66" s="55"/>
    </row>
    <row r="67" spans="1:11" s="40" customFormat="1" ht="12" customHeight="1" x14ac:dyDescent="0.35">
      <c r="A67" s="55"/>
      <c r="B67" s="55"/>
      <c r="C67" s="55"/>
      <c r="D67" s="55"/>
      <c r="E67" s="55"/>
      <c r="F67" s="55"/>
      <c r="G67"/>
      <c r="H67" s="55"/>
      <c r="I67" s="55"/>
      <c r="J67" s="55"/>
      <c r="K67" s="55"/>
    </row>
    <row r="68" spans="1:11" s="40" customFormat="1" ht="12" customHeight="1" x14ac:dyDescent="0.35">
      <c r="A68" s="55"/>
      <c r="B68" s="55"/>
      <c r="C68" s="55"/>
      <c r="D68" s="55"/>
      <c r="E68" s="55"/>
      <c r="F68" s="55"/>
      <c r="G68"/>
      <c r="H68" s="55"/>
      <c r="I68" s="55"/>
      <c r="J68" s="55"/>
      <c r="K68" s="55"/>
    </row>
    <row r="69" spans="1:11" s="40" customFormat="1" ht="12" customHeight="1" x14ac:dyDescent="0.35">
      <c r="A69" s="55"/>
      <c r="B69" s="55"/>
      <c r="C69" s="55"/>
      <c r="D69" s="55"/>
      <c r="E69" s="55"/>
      <c r="F69" s="55"/>
      <c r="G69"/>
      <c r="H69" s="55"/>
      <c r="I69" s="55"/>
      <c r="J69" s="55"/>
      <c r="K69" s="55"/>
    </row>
    <row r="70" spans="1:11" s="40" customFormat="1" ht="12" customHeight="1" x14ac:dyDescent="0.35">
      <c r="A70" s="55"/>
      <c r="B70" s="55"/>
      <c r="C70" s="55"/>
      <c r="D70" s="55"/>
      <c r="E70" s="55"/>
      <c r="F70" s="55"/>
      <c r="G70"/>
      <c r="H70" s="55"/>
      <c r="I70" s="55"/>
      <c r="J70" s="55"/>
      <c r="K70" s="55"/>
    </row>
    <row r="71" spans="1:11" s="40" customFormat="1" ht="12" customHeight="1" x14ac:dyDescent="0.35">
      <c r="A71" s="55"/>
      <c r="B71" s="55"/>
      <c r="C71" s="55"/>
      <c r="D71" s="55"/>
      <c r="E71" s="55"/>
      <c r="F71" s="55"/>
      <c r="G71"/>
      <c r="H71" s="55"/>
      <c r="I71" s="55"/>
      <c r="J71" s="55"/>
      <c r="K71" s="55"/>
    </row>
    <row r="72" spans="1:11" s="40" customFormat="1" ht="12" customHeight="1" x14ac:dyDescent="0.35">
      <c r="A72" s="55"/>
      <c r="B72" s="55"/>
      <c r="C72" s="55"/>
      <c r="D72" s="55"/>
      <c r="E72" s="55"/>
      <c r="F72" s="55"/>
      <c r="G72"/>
      <c r="H72" s="55"/>
      <c r="I72" s="55"/>
      <c r="J72" s="55"/>
      <c r="K72" s="55"/>
    </row>
    <row r="73" spans="1:11" x14ac:dyDescent="0.35">
      <c r="A73" s="55"/>
      <c r="B73" s="55"/>
      <c r="C73" s="55"/>
      <c r="D73" s="55"/>
      <c r="E73" s="55"/>
      <c r="F73" s="55"/>
      <c r="H73" s="55"/>
      <c r="I73" s="55"/>
      <c r="J73" s="55"/>
      <c r="K73" s="55"/>
    </row>
    <row r="74" spans="1:11" x14ac:dyDescent="0.35">
      <c r="A74" s="55"/>
      <c r="B74" s="55"/>
      <c r="C74" s="55"/>
      <c r="D74" s="55"/>
      <c r="E74" s="55"/>
      <c r="F74" s="55"/>
      <c r="H74" s="55"/>
      <c r="I74" s="55"/>
      <c r="J74" s="55"/>
      <c r="K74" s="55"/>
    </row>
    <row r="75" spans="1:11" x14ac:dyDescent="0.35">
      <c r="A75" s="55"/>
      <c r="B75" s="55"/>
      <c r="C75" s="55"/>
      <c r="D75" s="55"/>
      <c r="E75" s="55"/>
      <c r="F75" s="55"/>
      <c r="H75" s="55"/>
      <c r="I75" s="55"/>
      <c r="J75" s="55"/>
      <c r="K75" s="55"/>
    </row>
    <row r="76" spans="1:11" x14ac:dyDescent="0.35">
      <c r="A76" s="55"/>
      <c r="B76" s="55"/>
      <c r="C76" s="55"/>
      <c r="D76" s="55"/>
      <c r="E76" s="55"/>
      <c r="F76" s="55"/>
      <c r="H76" s="55"/>
      <c r="I76" s="55"/>
      <c r="J76" s="55"/>
      <c r="K76" s="55"/>
    </row>
    <row r="77" spans="1:11" x14ac:dyDescent="0.35">
      <c r="A77" s="55"/>
      <c r="B77" s="55"/>
      <c r="C77" s="55"/>
      <c r="D77" s="55"/>
      <c r="E77" s="55"/>
      <c r="F77" s="55"/>
      <c r="H77" s="55"/>
      <c r="I77" s="55"/>
      <c r="J77" s="55"/>
      <c r="K77" s="55"/>
    </row>
    <row r="78" spans="1:11" x14ac:dyDescent="0.35">
      <c r="A78" s="55"/>
      <c r="B78" s="55"/>
      <c r="C78" s="55"/>
      <c r="D78" s="55"/>
      <c r="E78" s="55"/>
      <c r="F78" s="55"/>
      <c r="H78" s="55"/>
      <c r="I78" s="55"/>
      <c r="J78" s="55"/>
      <c r="K78" s="55"/>
    </row>
    <row r="79" spans="1:11" x14ac:dyDescent="0.35">
      <c r="A79" s="55"/>
      <c r="B79" s="55"/>
      <c r="C79" s="55"/>
      <c r="D79" s="55"/>
      <c r="E79" s="55"/>
      <c r="F79" s="55"/>
      <c r="H79" s="55"/>
      <c r="I79" s="55"/>
      <c r="J79" s="55"/>
      <c r="K79" s="55"/>
    </row>
    <row r="80" spans="1:11" x14ac:dyDescent="0.35">
      <c r="A80" s="55"/>
      <c r="B80" s="55"/>
      <c r="C80" s="55"/>
      <c r="D80" s="55"/>
      <c r="E80" s="55"/>
      <c r="F80" s="55"/>
      <c r="H80" s="55"/>
      <c r="I80" s="55"/>
      <c r="J80" s="55"/>
      <c r="K80" s="55"/>
    </row>
    <row r="81" spans="1:11" x14ac:dyDescent="0.35">
      <c r="A81" s="55"/>
      <c r="B81" s="55"/>
      <c r="C81" s="55"/>
      <c r="D81" s="55"/>
      <c r="E81" s="55"/>
      <c r="F81" s="55"/>
      <c r="H81" s="55"/>
      <c r="I81" s="55"/>
      <c r="J81" s="55"/>
      <c r="K81" s="55"/>
    </row>
    <row r="82" spans="1:11" x14ac:dyDescent="0.35">
      <c r="A82" s="55"/>
      <c r="B82" s="55"/>
      <c r="C82" s="55"/>
      <c r="D82" s="55"/>
      <c r="E82" s="55"/>
      <c r="F82" s="55"/>
      <c r="H82" s="55"/>
      <c r="I82" s="55"/>
      <c r="J82" s="55"/>
      <c r="K82" s="55"/>
    </row>
    <row r="83" spans="1:11" x14ac:dyDescent="0.35">
      <c r="A83" s="55"/>
      <c r="B83" s="55"/>
      <c r="C83" s="55"/>
      <c r="D83" s="55"/>
      <c r="E83" s="55"/>
      <c r="F83" s="55"/>
      <c r="H83" s="55"/>
      <c r="I83" s="55"/>
      <c r="J83" s="55"/>
      <c r="K83" s="55"/>
    </row>
  </sheetData>
  <phoneticPr fontId="45" type="noConversion"/>
  <pageMargins left="0.11811023622047245" right="0.23622047244094491" top="0.74803149606299213" bottom="0.74803149606299213" header="0.31496062992125984" footer="0.31496062992125984"/>
  <pageSetup paperSize="9" scale="96" fitToHeight="3" orientation="landscape" r:id="rId1"/>
  <rowBreaks count="1" manualBreakCount="1">
    <brk id="48" max="11" man="1"/>
  </rowBreaks>
  <ignoredErrors>
    <ignoredError sqref="G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D42AE-9321-4FE9-A014-FE6888110D08}">
  <dimension ref="A1:AP43"/>
  <sheetViews>
    <sheetView zoomScale="90" zoomScaleNormal="90" workbookViewId="0">
      <selection activeCell="E42" sqref="E42"/>
    </sheetView>
  </sheetViews>
  <sheetFormatPr defaultRowHeight="14.5" x14ac:dyDescent="0.35"/>
  <cols>
    <col min="1" max="1" width="30" customWidth="1"/>
    <col min="2" max="5" width="11" customWidth="1"/>
    <col min="6" max="41" width="10.54296875" customWidth="1"/>
  </cols>
  <sheetData>
    <row r="1" spans="1:42" x14ac:dyDescent="0.35">
      <c r="A1" s="6" t="s">
        <v>57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42" ht="15" thickBo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42" x14ac:dyDescent="0.35">
      <c r="A3" s="105" t="s">
        <v>58</v>
      </c>
      <c r="B3" s="105" t="s">
        <v>59</v>
      </c>
      <c r="C3" s="105" t="s">
        <v>59</v>
      </c>
      <c r="D3" s="105" t="s">
        <v>59</v>
      </c>
      <c r="E3" s="105" t="s">
        <v>59</v>
      </c>
      <c r="F3" s="105" t="s">
        <v>2</v>
      </c>
      <c r="G3" s="105" t="s">
        <v>2</v>
      </c>
      <c r="H3" s="105" t="s">
        <v>2</v>
      </c>
      <c r="I3" s="105" t="s">
        <v>2</v>
      </c>
      <c r="J3" s="105" t="s">
        <v>3</v>
      </c>
      <c r="K3" s="105" t="s">
        <v>3</v>
      </c>
      <c r="L3" s="105" t="s">
        <v>3</v>
      </c>
      <c r="M3" s="105" t="s">
        <v>3</v>
      </c>
      <c r="N3" s="105" t="s">
        <v>4</v>
      </c>
      <c r="O3" s="105" t="s">
        <v>4</v>
      </c>
      <c r="P3" s="105" t="s">
        <v>4</v>
      </c>
      <c r="Q3" s="105" t="s">
        <v>4</v>
      </c>
      <c r="R3" s="110" t="s">
        <v>5</v>
      </c>
      <c r="S3" s="110" t="s">
        <v>5</v>
      </c>
      <c r="T3" s="110" t="s">
        <v>5</v>
      </c>
      <c r="U3" s="110" t="s">
        <v>5</v>
      </c>
      <c r="V3" s="110" t="s">
        <v>6</v>
      </c>
      <c r="W3" s="110" t="s">
        <v>6</v>
      </c>
      <c r="X3" s="110" t="s">
        <v>6</v>
      </c>
      <c r="Y3" s="110" t="s">
        <v>6</v>
      </c>
      <c r="Z3" s="110" t="s">
        <v>7</v>
      </c>
      <c r="AA3" s="110" t="s">
        <v>7</v>
      </c>
      <c r="AB3" s="110" t="s">
        <v>7</v>
      </c>
      <c r="AC3" s="110" t="s">
        <v>7</v>
      </c>
      <c r="AD3" s="110" t="s">
        <v>8</v>
      </c>
      <c r="AE3" s="110" t="s">
        <v>8</v>
      </c>
      <c r="AF3" s="110" t="s">
        <v>8</v>
      </c>
      <c r="AG3" s="110" t="s">
        <v>8</v>
      </c>
      <c r="AH3" s="110" t="s">
        <v>9</v>
      </c>
      <c r="AI3" s="110" t="s">
        <v>9</v>
      </c>
      <c r="AJ3" s="110" t="s">
        <v>9</v>
      </c>
      <c r="AK3" s="110" t="s">
        <v>9</v>
      </c>
      <c r="AL3" s="171" t="s">
        <v>10</v>
      </c>
      <c r="AM3" s="171" t="s">
        <v>10</v>
      </c>
      <c r="AN3" s="171" t="s">
        <v>10</v>
      </c>
      <c r="AO3" s="171" t="s">
        <v>10</v>
      </c>
    </row>
    <row r="4" spans="1:42" ht="15" thickBot="1" x14ac:dyDescent="0.4">
      <c r="A4" s="108" t="s">
        <v>60</v>
      </c>
      <c r="B4" s="100" t="s">
        <v>65</v>
      </c>
      <c r="C4" s="100" t="s">
        <v>66</v>
      </c>
      <c r="D4" s="100" t="s">
        <v>61</v>
      </c>
      <c r="E4" s="100" t="s">
        <v>62</v>
      </c>
      <c r="F4" s="100" t="s">
        <v>63</v>
      </c>
      <c r="G4" s="100" t="s">
        <v>64</v>
      </c>
      <c r="H4" s="100" t="s">
        <v>61</v>
      </c>
      <c r="I4" s="100" t="s">
        <v>62</v>
      </c>
      <c r="J4" s="100" t="s">
        <v>65</v>
      </c>
      <c r="K4" s="100" t="s">
        <v>66</v>
      </c>
      <c r="L4" s="100" t="s">
        <v>61</v>
      </c>
      <c r="M4" s="100" t="s">
        <v>62</v>
      </c>
      <c r="N4" s="100" t="s">
        <v>65</v>
      </c>
      <c r="O4" s="100" t="s">
        <v>66</v>
      </c>
      <c r="P4" s="100" t="s">
        <v>61</v>
      </c>
      <c r="Q4" s="100" t="s">
        <v>62</v>
      </c>
      <c r="R4" s="100" t="s">
        <v>65</v>
      </c>
      <c r="S4" s="100" t="s">
        <v>66</v>
      </c>
      <c r="T4" s="100" t="s">
        <v>61</v>
      </c>
      <c r="U4" s="101" t="s">
        <v>62</v>
      </c>
      <c r="V4" s="101" t="s">
        <v>65</v>
      </c>
      <c r="W4" s="101" t="s">
        <v>66</v>
      </c>
      <c r="X4" s="101" t="s">
        <v>61</v>
      </c>
      <c r="Y4" s="101" t="s">
        <v>62</v>
      </c>
      <c r="Z4" s="101" t="s">
        <v>65</v>
      </c>
      <c r="AA4" s="101" t="s">
        <v>66</v>
      </c>
      <c r="AB4" s="101" t="s">
        <v>61</v>
      </c>
      <c r="AC4" s="101" t="s">
        <v>62</v>
      </c>
      <c r="AD4" s="101" t="s">
        <v>65</v>
      </c>
      <c r="AE4" s="101" t="s">
        <v>66</v>
      </c>
      <c r="AF4" s="101" t="s">
        <v>61</v>
      </c>
      <c r="AG4" s="101" t="s">
        <v>62</v>
      </c>
      <c r="AH4" s="101" t="s">
        <v>65</v>
      </c>
      <c r="AI4" s="101" t="s">
        <v>66</v>
      </c>
      <c r="AJ4" s="101" t="s">
        <v>61</v>
      </c>
      <c r="AK4" s="101" t="s">
        <v>62</v>
      </c>
      <c r="AL4" s="101" t="s">
        <v>65</v>
      </c>
      <c r="AM4" s="101" t="s">
        <v>66</v>
      </c>
      <c r="AN4" s="101" t="s">
        <v>61</v>
      </c>
      <c r="AO4" s="101" t="s">
        <v>62</v>
      </c>
    </row>
    <row r="5" spans="1:42" x14ac:dyDescent="0.35">
      <c r="A5" s="138" t="s">
        <v>67</v>
      </c>
      <c r="B5" s="191">
        <v>1033209</v>
      </c>
      <c r="C5" s="191">
        <v>892015</v>
      </c>
      <c r="D5" s="191">
        <v>850583</v>
      </c>
      <c r="E5" s="191">
        <v>765854</v>
      </c>
      <c r="F5" s="191">
        <v>914075</v>
      </c>
      <c r="G5" s="191">
        <v>848400</v>
      </c>
      <c r="H5" s="191">
        <v>753500</v>
      </c>
      <c r="I5" s="191">
        <v>723836</v>
      </c>
      <c r="J5" s="191">
        <v>898103</v>
      </c>
      <c r="K5" s="191">
        <v>694041</v>
      </c>
      <c r="L5" s="191">
        <v>787725</v>
      </c>
      <c r="M5" s="191">
        <v>583739</v>
      </c>
      <c r="N5" s="191">
        <v>724703</v>
      </c>
      <c r="O5" s="191">
        <v>580295</v>
      </c>
      <c r="P5" s="191">
        <v>561665</v>
      </c>
      <c r="Q5" s="191">
        <v>484089</v>
      </c>
      <c r="R5" s="191">
        <v>649023</v>
      </c>
      <c r="S5" s="191">
        <v>476173</v>
      </c>
      <c r="T5" s="191">
        <v>418245</v>
      </c>
      <c r="U5" s="139">
        <v>405699</v>
      </c>
      <c r="V5" s="139">
        <v>526198</v>
      </c>
      <c r="W5" s="139">
        <v>394163</v>
      </c>
      <c r="X5" s="139">
        <v>413173</v>
      </c>
      <c r="Y5" s="139">
        <v>298893</v>
      </c>
      <c r="Z5" s="139">
        <v>507618</v>
      </c>
      <c r="AA5" s="139">
        <v>457411</v>
      </c>
      <c r="AB5" s="139">
        <v>363267</v>
      </c>
      <c r="AC5" s="139">
        <v>332842</v>
      </c>
      <c r="AD5" s="139">
        <v>474074</v>
      </c>
      <c r="AE5" s="139">
        <v>329537</v>
      </c>
      <c r="AF5" s="139">
        <v>316191</v>
      </c>
      <c r="AG5" s="139">
        <v>293720</v>
      </c>
      <c r="AH5" s="139">
        <v>357092</v>
      </c>
      <c r="AI5" s="139">
        <v>285491</v>
      </c>
      <c r="AJ5" s="139">
        <v>298532</v>
      </c>
      <c r="AK5" s="139">
        <v>268067</v>
      </c>
      <c r="AL5" s="139">
        <v>330611</v>
      </c>
      <c r="AM5" s="139">
        <v>282420</v>
      </c>
      <c r="AN5" s="139">
        <v>271240</v>
      </c>
      <c r="AO5" s="139">
        <v>240838</v>
      </c>
      <c r="AP5" s="121"/>
    </row>
    <row r="6" spans="1:42" x14ac:dyDescent="0.35">
      <c r="A6" s="140" t="s">
        <v>68</v>
      </c>
      <c r="B6" s="192">
        <v>20656</v>
      </c>
      <c r="C6" s="192">
        <v>27772</v>
      </c>
      <c r="D6" s="192">
        <v>27584</v>
      </c>
      <c r="E6" s="192">
        <v>23007</v>
      </c>
      <c r="F6" s="192">
        <v>18878</v>
      </c>
      <c r="G6" s="192">
        <v>22916</v>
      </c>
      <c r="H6" s="192">
        <v>19385</v>
      </c>
      <c r="I6" s="192">
        <v>12915</v>
      </c>
      <c r="J6" s="192">
        <v>16348</v>
      </c>
      <c r="K6" s="192">
        <v>19282</v>
      </c>
      <c r="L6" s="192">
        <v>17974</v>
      </c>
      <c r="M6" s="192">
        <v>17970</v>
      </c>
      <c r="N6" s="192">
        <v>20554</v>
      </c>
      <c r="O6" s="192">
        <v>14670</v>
      </c>
      <c r="P6" s="192">
        <v>11467</v>
      </c>
      <c r="Q6" s="192">
        <v>8970</v>
      </c>
      <c r="R6" s="192">
        <v>10572</v>
      </c>
      <c r="S6" s="192">
        <v>8737</v>
      </c>
      <c r="T6" s="192">
        <v>13316</v>
      </c>
      <c r="U6" s="141">
        <v>11646</v>
      </c>
      <c r="V6" s="141">
        <v>12324</v>
      </c>
      <c r="W6" s="141">
        <v>13542</v>
      </c>
      <c r="X6" s="141">
        <v>11607</v>
      </c>
      <c r="Y6" s="141">
        <v>9909</v>
      </c>
      <c r="Z6" s="141">
        <v>12135</v>
      </c>
      <c r="AA6" s="141">
        <v>14336</v>
      </c>
      <c r="AB6" s="141">
        <v>8917</v>
      </c>
      <c r="AC6" s="141">
        <v>6370</v>
      </c>
      <c r="AD6" s="141">
        <v>15649</v>
      </c>
      <c r="AE6" s="141">
        <v>10655</v>
      </c>
      <c r="AF6" s="141">
        <v>6340</v>
      </c>
      <c r="AG6" s="141">
        <v>4626</v>
      </c>
      <c r="AH6" s="141">
        <v>7714</v>
      </c>
      <c r="AI6" s="141">
        <v>11054</v>
      </c>
      <c r="AJ6" s="141">
        <v>5561</v>
      </c>
      <c r="AK6" s="141">
        <v>3899</v>
      </c>
      <c r="AL6" s="141">
        <v>6216</v>
      </c>
      <c r="AM6" s="141">
        <v>8050</v>
      </c>
      <c r="AN6" s="141">
        <v>9364</v>
      </c>
      <c r="AO6" s="141">
        <v>5740</v>
      </c>
    </row>
    <row r="7" spans="1:42" x14ac:dyDescent="0.35">
      <c r="A7" s="140" t="s">
        <v>69</v>
      </c>
      <c r="B7" s="192">
        <v>0</v>
      </c>
      <c r="C7" s="192">
        <v>0</v>
      </c>
      <c r="D7" s="192">
        <v>0</v>
      </c>
      <c r="E7" s="192">
        <v>0</v>
      </c>
      <c r="F7" s="192">
        <v>0</v>
      </c>
      <c r="G7" s="192">
        <v>0</v>
      </c>
      <c r="H7" s="192">
        <v>0</v>
      </c>
      <c r="I7" s="192">
        <v>0</v>
      </c>
      <c r="J7" s="192">
        <v>0</v>
      </c>
      <c r="K7" s="192">
        <v>0</v>
      </c>
      <c r="L7" s="192">
        <v>0</v>
      </c>
      <c r="M7" s="192">
        <v>0</v>
      </c>
      <c r="N7" s="192">
        <v>0</v>
      </c>
      <c r="O7" s="192">
        <v>0</v>
      </c>
      <c r="P7" s="192">
        <v>0</v>
      </c>
      <c r="Q7" s="192">
        <v>0</v>
      </c>
      <c r="R7" s="192">
        <v>0</v>
      </c>
      <c r="S7" s="192">
        <v>0</v>
      </c>
      <c r="T7" s="192">
        <v>0</v>
      </c>
      <c r="U7" s="141">
        <v>0</v>
      </c>
      <c r="V7" s="141">
        <v>1171</v>
      </c>
      <c r="W7" s="141">
        <v>0</v>
      </c>
      <c r="X7" s="141">
        <v>1070</v>
      </c>
      <c r="Y7" s="141">
        <v>630</v>
      </c>
      <c r="Z7" s="141">
        <v>37</v>
      </c>
      <c r="AA7" s="141">
        <v>8836</v>
      </c>
      <c r="AB7" s="141">
        <v>0</v>
      </c>
      <c r="AC7" s="141">
        <v>0</v>
      </c>
      <c r="AD7" s="141">
        <v>0</v>
      </c>
      <c r="AE7" s="141">
        <v>0</v>
      </c>
      <c r="AF7" s="141">
        <v>0</v>
      </c>
      <c r="AG7" s="141">
        <v>0</v>
      </c>
      <c r="AH7" s="141">
        <v>0</v>
      </c>
      <c r="AI7" s="141">
        <v>0</v>
      </c>
      <c r="AJ7" s="141">
        <v>0</v>
      </c>
      <c r="AK7" s="141">
        <v>0</v>
      </c>
      <c r="AL7" s="141">
        <v>0</v>
      </c>
      <c r="AM7" s="141">
        <v>12355</v>
      </c>
      <c r="AN7" s="141"/>
      <c r="AO7" s="141"/>
    </row>
    <row r="8" spans="1:42" x14ac:dyDescent="0.35">
      <c r="A8" s="140" t="s">
        <v>70</v>
      </c>
      <c r="B8" s="192">
        <v>11446</v>
      </c>
      <c r="C8" s="192">
        <v>5230</v>
      </c>
      <c r="D8" s="192">
        <v>25313</v>
      </c>
      <c r="E8" s="192">
        <v>7123</v>
      </c>
      <c r="F8" s="192">
        <v>14528</v>
      </c>
      <c r="G8" s="192">
        <v>202580</v>
      </c>
      <c r="H8" s="192">
        <v>6519</v>
      </c>
      <c r="I8" s="192">
        <v>2729</v>
      </c>
      <c r="J8" s="192">
        <v>1252</v>
      </c>
      <c r="K8" s="192">
        <v>630</v>
      </c>
      <c r="L8" s="192">
        <v>2186</v>
      </c>
      <c r="M8" s="192">
        <v>1320</v>
      </c>
      <c r="N8" s="192">
        <v>458</v>
      </c>
      <c r="O8" s="192">
        <v>558</v>
      </c>
      <c r="P8" s="192">
        <v>447</v>
      </c>
      <c r="Q8" s="192">
        <v>117</v>
      </c>
      <c r="R8" s="192">
        <v>393</v>
      </c>
      <c r="S8" s="192">
        <v>8</v>
      </c>
      <c r="T8" s="192">
        <v>610</v>
      </c>
      <c r="U8" s="141">
        <v>285</v>
      </c>
      <c r="V8" s="141">
        <v>76</v>
      </c>
      <c r="W8" s="141">
        <v>580</v>
      </c>
      <c r="X8" s="141">
        <v>490</v>
      </c>
      <c r="Y8" s="142">
        <v>16</v>
      </c>
      <c r="Z8" s="141">
        <v>1979</v>
      </c>
      <c r="AA8" s="142">
        <v>715</v>
      </c>
      <c r="AB8" s="142">
        <v>217</v>
      </c>
      <c r="AC8" s="142">
        <v>802</v>
      </c>
      <c r="AD8" s="142">
        <v>251</v>
      </c>
      <c r="AE8" s="141">
        <v>1105</v>
      </c>
      <c r="AF8" s="141">
        <v>1516</v>
      </c>
      <c r="AG8" s="141">
        <v>536</v>
      </c>
      <c r="AH8" s="141">
        <v>869</v>
      </c>
      <c r="AI8" s="141">
        <v>1466</v>
      </c>
      <c r="AJ8" s="141">
        <v>514</v>
      </c>
      <c r="AK8" s="141">
        <v>857</v>
      </c>
      <c r="AL8" s="141">
        <v>835</v>
      </c>
      <c r="AM8" s="141">
        <v>1057</v>
      </c>
      <c r="AN8" s="141">
        <v>137</v>
      </c>
      <c r="AO8" s="141">
        <v>368</v>
      </c>
    </row>
    <row r="9" spans="1:42" x14ac:dyDescent="0.35">
      <c r="A9" s="140" t="s">
        <v>71</v>
      </c>
      <c r="B9" s="192">
        <v>-146915</v>
      </c>
      <c r="C9" s="192">
        <v>-140888</v>
      </c>
      <c r="D9" s="192">
        <v>-109774</v>
      </c>
      <c r="E9" s="192">
        <v>-105193</v>
      </c>
      <c r="F9" s="192">
        <v>-124123</v>
      </c>
      <c r="G9" s="192">
        <v>-93570</v>
      </c>
      <c r="H9" s="192">
        <v>-120734</v>
      </c>
      <c r="I9" s="192">
        <v>-103285</v>
      </c>
      <c r="J9" s="192">
        <v>-130489</v>
      </c>
      <c r="K9" s="192">
        <v>-101662</v>
      </c>
      <c r="L9" s="192">
        <v>-127988</v>
      </c>
      <c r="M9" s="192">
        <v>-71079</v>
      </c>
      <c r="N9" s="192">
        <v>-106139</v>
      </c>
      <c r="O9" s="192">
        <v>-53623</v>
      </c>
      <c r="P9" s="192">
        <v>-57471</v>
      </c>
      <c r="Q9" s="192">
        <v>-45664</v>
      </c>
      <c r="R9" s="192">
        <v>-127928</v>
      </c>
      <c r="S9" s="192">
        <v>-68572</v>
      </c>
      <c r="T9" s="192">
        <v>-43645</v>
      </c>
      <c r="U9" s="141">
        <v>-45897</v>
      </c>
      <c r="V9" s="141">
        <v>-48680</v>
      </c>
      <c r="W9" s="141">
        <v>-52361</v>
      </c>
      <c r="X9" s="141">
        <v>-57641</v>
      </c>
      <c r="Y9" s="141">
        <v>-37485</v>
      </c>
      <c r="Z9" s="141">
        <v>-62528</v>
      </c>
      <c r="AA9" s="141">
        <v>-82551</v>
      </c>
      <c r="AB9" s="141">
        <v>-55544</v>
      </c>
      <c r="AC9" s="141">
        <v>-47682</v>
      </c>
      <c r="AD9" s="141">
        <v>-118745</v>
      </c>
      <c r="AE9" s="141">
        <v>-45624</v>
      </c>
      <c r="AF9" s="141">
        <v>-43773</v>
      </c>
      <c r="AG9" s="141">
        <v>-46316</v>
      </c>
      <c r="AH9" s="141">
        <v>-38519</v>
      </c>
      <c r="AI9" s="141">
        <v>-38341</v>
      </c>
      <c r="AJ9" s="141">
        <v>-51087</v>
      </c>
      <c r="AK9" s="141">
        <v>-52347</v>
      </c>
      <c r="AL9" s="141">
        <v>-39250.400000000001</v>
      </c>
      <c r="AM9" s="141">
        <v>-45965</v>
      </c>
      <c r="AN9" s="141">
        <v>-44116</v>
      </c>
      <c r="AO9" s="141">
        <v>-51057</v>
      </c>
    </row>
    <row r="10" spans="1:42" x14ac:dyDescent="0.35">
      <c r="A10" s="140" t="s">
        <v>72</v>
      </c>
      <c r="B10" s="192">
        <v>-520887</v>
      </c>
      <c r="C10" s="192">
        <v>-406801</v>
      </c>
      <c r="D10" s="192">
        <v>-420058</v>
      </c>
      <c r="E10" s="192">
        <v>-420309</v>
      </c>
      <c r="F10" s="192">
        <v>-423880</v>
      </c>
      <c r="G10" s="192">
        <v>-409143</v>
      </c>
      <c r="H10" s="192">
        <v>-385530</v>
      </c>
      <c r="I10" s="192">
        <v>-380144</v>
      </c>
      <c r="J10" s="192">
        <v>-401200</v>
      </c>
      <c r="K10" s="192">
        <v>-362580</v>
      </c>
      <c r="L10" s="192">
        <v>-353413</v>
      </c>
      <c r="M10" s="192">
        <v>-319715</v>
      </c>
      <c r="N10" s="192">
        <v>-303906</v>
      </c>
      <c r="O10" s="192">
        <v>-308331</v>
      </c>
      <c r="P10" s="192">
        <v>-293524</v>
      </c>
      <c r="Q10" s="192">
        <v>-263568</v>
      </c>
      <c r="R10" s="192">
        <v>-260407</v>
      </c>
      <c r="S10" s="192">
        <v>-245160</v>
      </c>
      <c r="T10" s="192">
        <v>-230567</v>
      </c>
      <c r="U10" s="141">
        <v>-209042</v>
      </c>
      <c r="V10" s="141">
        <v>-249651</v>
      </c>
      <c r="W10" s="141">
        <v>-212408</v>
      </c>
      <c r="X10" s="141">
        <v>-211122</v>
      </c>
      <c r="Y10" s="141">
        <v>-181338</v>
      </c>
      <c r="Z10" s="141">
        <v>-232115</v>
      </c>
      <c r="AA10" s="141">
        <v>-204767</v>
      </c>
      <c r="AB10" s="141">
        <v>-195930</v>
      </c>
      <c r="AC10" s="141">
        <v>-182364</v>
      </c>
      <c r="AD10" s="141">
        <v>-179241</v>
      </c>
      <c r="AE10" s="141">
        <v>-173465</v>
      </c>
      <c r="AF10" s="141">
        <v>-171438</v>
      </c>
      <c r="AG10" s="141">
        <v>-152663</v>
      </c>
      <c r="AH10" s="141">
        <v>-158878</v>
      </c>
      <c r="AI10" s="141">
        <v>-146588</v>
      </c>
      <c r="AJ10" s="141">
        <v>-146170</v>
      </c>
      <c r="AK10" s="141">
        <v>-132467</v>
      </c>
      <c r="AL10" s="141">
        <v>-142308</v>
      </c>
      <c r="AM10" s="141">
        <v>-142482</v>
      </c>
      <c r="AN10" s="141">
        <v>-137585</v>
      </c>
      <c r="AO10" s="141">
        <v>-120090</v>
      </c>
    </row>
    <row r="11" spans="1:42" x14ac:dyDescent="0.35">
      <c r="A11" s="140" t="s">
        <v>73</v>
      </c>
      <c r="B11" s="192">
        <v>-152100</v>
      </c>
      <c r="C11" s="192">
        <v>-154145</v>
      </c>
      <c r="D11" s="192">
        <v>-156134</v>
      </c>
      <c r="E11" s="192">
        <v>-124110</v>
      </c>
      <c r="F11" s="192">
        <v>-171765</v>
      </c>
      <c r="G11" s="192">
        <v>-227238</v>
      </c>
      <c r="H11" s="192">
        <v>-136234</v>
      </c>
      <c r="I11" s="192">
        <v>-130088</v>
      </c>
      <c r="J11" s="192">
        <v>-155305</v>
      </c>
      <c r="K11" s="192">
        <v>-150686</v>
      </c>
      <c r="L11" s="192">
        <v>-126124</v>
      </c>
      <c r="M11" s="192">
        <v>-118385</v>
      </c>
      <c r="N11" s="192">
        <v>-114607</v>
      </c>
      <c r="O11" s="192">
        <v>-123270</v>
      </c>
      <c r="P11" s="192">
        <v>-92911</v>
      </c>
      <c r="Q11" s="192">
        <v>-97387</v>
      </c>
      <c r="R11" s="192">
        <v>-108717</v>
      </c>
      <c r="S11" s="192">
        <v>-81441</v>
      </c>
      <c r="T11" s="192">
        <v>-55221</v>
      </c>
      <c r="U11" s="141">
        <v>-53508</v>
      </c>
      <c r="V11" s="141">
        <v>-55260</v>
      </c>
      <c r="W11" s="141">
        <v>-54323</v>
      </c>
      <c r="X11" s="141">
        <v>-46389</v>
      </c>
      <c r="Y11" s="141">
        <v>-43995</v>
      </c>
      <c r="Z11" s="141">
        <f>-77056-7412</f>
        <v>-84468</v>
      </c>
      <c r="AA11" s="141">
        <v>-67941</v>
      </c>
      <c r="AB11" s="141">
        <v>-60904</v>
      </c>
      <c r="AC11" s="141">
        <v>-63665</v>
      </c>
      <c r="AD11" s="141">
        <v>-74776</v>
      </c>
      <c r="AE11" s="141">
        <v>-60003</v>
      </c>
      <c r="AF11" s="141">
        <v>-52202</v>
      </c>
      <c r="AG11" s="141">
        <v>-53604</v>
      </c>
      <c r="AH11" s="141">
        <v>-67030</v>
      </c>
      <c r="AI11" s="141">
        <v>-63214</v>
      </c>
      <c r="AJ11" s="141">
        <v>-49201</v>
      </c>
      <c r="AK11" s="141">
        <v>-42997</v>
      </c>
      <c r="AL11" s="141">
        <v>-67864</v>
      </c>
      <c r="AM11" s="141">
        <v>-54367</v>
      </c>
      <c r="AN11" s="141">
        <v>-43475</v>
      </c>
      <c r="AO11" s="141">
        <v>-39543</v>
      </c>
    </row>
    <row r="12" spans="1:42" ht="27" customHeight="1" thickBot="1" x14ac:dyDescent="0.4">
      <c r="A12" s="86" t="s">
        <v>74</v>
      </c>
      <c r="B12" s="193">
        <v>-36301</v>
      </c>
      <c r="C12" s="193">
        <v>-29095</v>
      </c>
      <c r="D12" s="193">
        <v>-28874</v>
      </c>
      <c r="E12" s="193">
        <v>-27573</v>
      </c>
      <c r="F12" s="193">
        <v>-28785</v>
      </c>
      <c r="G12" s="193">
        <v>-29257</v>
      </c>
      <c r="H12" s="193">
        <v>-27339</v>
      </c>
      <c r="I12" s="193">
        <v>-26148</v>
      </c>
      <c r="J12" s="193">
        <v>-31284</v>
      </c>
      <c r="K12" s="193">
        <v>-24666</v>
      </c>
      <c r="L12" s="193">
        <v>-23647</v>
      </c>
      <c r="M12" s="193">
        <v>-24537</v>
      </c>
      <c r="N12" s="193">
        <v>-24279</v>
      </c>
      <c r="O12" s="193">
        <v>-23340</v>
      </c>
      <c r="P12" s="193">
        <v>-22113</v>
      </c>
      <c r="Q12" s="193">
        <v>-22207</v>
      </c>
      <c r="R12" s="193">
        <v>-21791</v>
      </c>
      <c r="S12" s="193">
        <v>-21300</v>
      </c>
      <c r="T12" s="193">
        <v>-19026</v>
      </c>
      <c r="U12" s="104">
        <v>-19100</v>
      </c>
      <c r="V12" s="104">
        <v>-22257</v>
      </c>
      <c r="W12" s="104">
        <v>-20070</v>
      </c>
      <c r="X12" s="104">
        <v>-21541</v>
      </c>
      <c r="Y12" s="104">
        <v>-19246</v>
      </c>
      <c r="Z12" s="104">
        <f>-26497+7412</f>
        <v>-19085</v>
      </c>
      <c r="AA12" s="104">
        <v>-26305</v>
      </c>
      <c r="AB12" s="104">
        <v>-17358</v>
      </c>
      <c r="AC12" s="104">
        <v>-16926</v>
      </c>
      <c r="AD12" s="104">
        <v>-12501</v>
      </c>
      <c r="AE12" s="104">
        <v>-11979</v>
      </c>
      <c r="AF12" s="104">
        <v>-11604</v>
      </c>
      <c r="AG12" s="104">
        <v>-10725</v>
      </c>
      <c r="AH12" s="104">
        <v>-10524</v>
      </c>
      <c r="AI12" s="104">
        <v>-10662</v>
      </c>
      <c r="AJ12" s="104">
        <v>-10143</v>
      </c>
      <c r="AK12" s="104">
        <v>-8599</v>
      </c>
      <c r="AL12" s="104">
        <v>-8325</v>
      </c>
      <c r="AM12" s="104">
        <f>-8685-12313</f>
        <v>-20998</v>
      </c>
      <c r="AN12" s="104">
        <v>-8529</v>
      </c>
      <c r="AO12" s="104">
        <v>-8291</v>
      </c>
    </row>
    <row r="13" spans="1:42" x14ac:dyDescent="0.35">
      <c r="A13" s="105" t="s">
        <v>75</v>
      </c>
      <c r="B13" s="194">
        <f t="shared" ref="B13:O13" si="0">SUM(B5:B12)</f>
        <v>209108</v>
      </c>
      <c r="C13" s="194">
        <f t="shared" si="0"/>
        <v>194088</v>
      </c>
      <c r="D13" s="194">
        <f t="shared" si="0"/>
        <v>188640</v>
      </c>
      <c r="E13" s="194">
        <f t="shared" si="0"/>
        <v>118799</v>
      </c>
      <c r="F13" s="194">
        <f t="shared" si="0"/>
        <v>198928</v>
      </c>
      <c r="G13" s="194">
        <f t="shared" si="0"/>
        <v>314688</v>
      </c>
      <c r="H13" s="194">
        <f t="shared" si="0"/>
        <v>109567</v>
      </c>
      <c r="I13" s="194">
        <f t="shared" si="0"/>
        <v>99815</v>
      </c>
      <c r="J13" s="194">
        <f t="shared" si="0"/>
        <v>197425</v>
      </c>
      <c r="K13" s="194">
        <f t="shared" si="0"/>
        <v>74359</v>
      </c>
      <c r="L13" s="194">
        <f t="shared" si="0"/>
        <v>176713</v>
      </c>
      <c r="M13" s="194">
        <f t="shared" si="0"/>
        <v>69313</v>
      </c>
      <c r="N13" s="194">
        <f t="shared" si="0"/>
        <v>196784</v>
      </c>
      <c r="O13" s="194">
        <f t="shared" si="0"/>
        <v>86959</v>
      </c>
      <c r="P13" s="194">
        <f>SUM(P5:P12)</f>
        <v>107560</v>
      </c>
      <c r="Q13" s="194">
        <v>64350</v>
      </c>
      <c r="R13" s="194">
        <f t="shared" ref="R13" si="1">SUM(R5:R12)</f>
        <v>141145</v>
      </c>
      <c r="S13" s="194">
        <f>SUM(S5:S12)</f>
        <v>68445</v>
      </c>
      <c r="T13" s="194">
        <v>83712</v>
      </c>
      <c r="U13" s="106">
        <v>90083</v>
      </c>
      <c r="V13" s="106">
        <v>163921</v>
      </c>
      <c r="W13" s="106">
        <f t="shared" ref="W13:X13" si="2">SUM(W5:W12)</f>
        <v>69123</v>
      </c>
      <c r="X13" s="106">
        <f t="shared" si="2"/>
        <v>89647</v>
      </c>
      <c r="Y13" s="106">
        <f>SUM(Y5:Y12)</f>
        <v>27384</v>
      </c>
      <c r="Z13" s="106">
        <v>123573</v>
      </c>
      <c r="AA13" s="106">
        <v>99734</v>
      </c>
      <c r="AB13" s="106">
        <v>42665</v>
      </c>
      <c r="AC13" s="106">
        <v>29377</v>
      </c>
      <c r="AD13" s="106">
        <v>104711</v>
      </c>
      <c r="AE13" s="106">
        <f>SUM(AE5:AE12)</f>
        <v>50226</v>
      </c>
      <c r="AF13" s="106">
        <f>SUM(AF5:AF12)</f>
        <v>45030</v>
      </c>
      <c r="AG13" s="106">
        <f t="shared" ref="AG13:AO13" si="3">SUM(AG5:AG12)</f>
        <v>35574</v>
      </c>
      <c r="AH13" s="106">
        <f t="shared" si="3"/>
        <v>90724</v>
      </c>
      <c r="AI13" s="106">
        <f t="shared" si="3"/>
        <v>39206</v>
      </c>
      <c r="AJ13" s="106">
        <f t="shared" si="3"/>
        <v>48006</v>
      </c>
      <c r="AK13" s="106">
        <f t="shared" si="3"/>
        <v>36413</v>
      </c>
      <c r="AL13" s="106">
        <f t="shared" si="3"/>
        <v>79914.599999999977</v>
      </c>
      <c r="AM13" s="106">
        <f t="shared" si="3"/>
        <v>40070</v>
      </c>
      <c r="AN13" s="106">
        <f t="shared" si="3"/>
        <v>47036</v>
      </c>
      <c r="AO13" s="106">
        <f t="shared" si="3"/>
        <v>27965</v>
      </c>
    </row>
    <row r="14" spans="1:42" x14ac:dyDescent="0.35">
      <c r="A14" s="86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86"/>
      <c r="V14" s="86"/>
      <c r="W14" s="86"/>
      <c r="X14" s="86"/>
      <c r="Y14" s="86"/>
      <c r="Z14" s="86"/>
      <c r="AA14" s="86"/>
      <c r="AB14" s="107"/>
      <c r="AC14" s="107"/>
      <c r="AD14" s="107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</row>
    <row r="15" spans="1:42" ht="15" thickBot="1" x14ac:dyDescent="0.4">
      <c r="A15" s="108" t="s">
        <v>76</v>
      </c>
      <c r="B15" s="195">
        <v>11789</v>
      </c>
      <c r="C15" s="195">
        <v>-2777</v>
      </c>
      <c r="D15" s="195">
        <v>-2199</v>
      </c>
      <c r="E15" s="195">
        <v>11500</v>
      </c>
      <c r="F15" s="195">
        <v>-16940</v>
      </c>
      <c r="G15" s="195">
        <v>17818</v>
      </c>
      <c r="H15" s="195">
        <v>960</v>
      </c>
      <c r="I15" s="195">
        <v>1445</v>
      </c>
      <c r="J15" s="195">
        <v>14655</v>
      </c>
      <c r="K15" s="195">
        <v>-1479</v>
      </c>
      <c r="L15" s="195">
        <v>13576</v>
      </c>
      <c r="M15" s="195">
        <v>8213</v>
      </c>
      <c r="N15" s="195">
        <v>5114</v>
      </c>
      <c r="O15" s="195">
        <v>4100</v>
      </c>
      <c r="P15" s="195">
        <v>10702</v>
      </c>
      <c r="Q15" s="195">
        <v>3822</v>
      </c>
      <c r="R15" s="195">
        <v>298</v>
      </c>
      <c r="S15" s="195">
        <v>8590</v>
      </c>
      <c r="T15" s="195">
        <v>234</v>
      </c>
      <c r="U15" s="109">
        <v>1998</v>
      </c>
      <c r="V15" s="109">
        <v>-2565</v>
      </c>
      <c r="W15" s="109">
        <v>-1312</v>
      </c>
      <c r="X15" s="109">
        <v>2863</v>
      </c>
      <c r="Y15" s="109">
        <v>-5946</v>
      </c>
      <c r="Z15" s="109">
        <v>3168</v>
      </c>
      <c r="AA15" s="109">
        <v>993</v>
      </c>
      <c r="AB15" s="109">
        <v>2277</v>
      </c>
      <c r="AC15" s="109">
        <v>1250</v>
      </c>
      <c r="AD15" s="109">
        <v>6168</v>
      </c>
      <c r="AE15" s="109">
        <v>1206</v>
      </c>
      <c r="AF15" s="109">
        <v>7718</v>
      </c>
      <c r="AG15" s="109">
        <v>-1841</v>
      </c>
      <c r="AH15" s="109">
        <v>31563</v>
      </c>
      <c r="AI15" s="109">
        <v>-4708</v>
      </c>
      <c r="AJ15" s="109">
        <v>3775</v>
      </c>
      <c r="AK15" s="109">
        <v>-13825</v>
      </c>
      <c r="AL15" s="109">
        <v>5451</v>
      </c>
      <c r="AM15" s="109">
        <v>337</v>
      </c>
      <c r="AN15" s="109">
        <v>-410</v>
      </c>
      <c r="AO15" s="109">
        <v>782</v>
      </c>
    </row>
    <row r="16" spans="1:42" x14ac:dyDescent="0.35">
      <c r="A16" s="105" t="s">
        <v>77</v>
      </c>
      <c r="B16" s="194">
        <f t="shared" ref="B16:C16" si="4">B13+B15</f>
        <v>220897</v>
      </c>
      <c r="C16" s="194">
        <f t="shared" si="4"/>
        <v>191311</v>
      </c>
      <c r="D16" s="194">
        <f>D13+D15</f>
        <v>186441</v>
      </c>
      <c r="E16" s="194">
        <f>E13+E15+1</f>
        <v>130300</v>
      </c>
      <c r="F16" s="194">
        <f t="shared" ref="F16:O16" si="5">F13+F15</f>
        <v>181988</v>
      </c>
      <c r="G16" s="194">
        <f t="shared" si="5"/>
        <v>332506</v>
      </c>
      <c r="H16" s="194">
        <f t="shared" si="5"/>
        <v>110527</v>
      </c>
      <c r="I16" s="194">
        <f t="shared" si="5"/>
        <v>101260</v>
      </c>
      <c r="J16" s="194">
        <f t="shared" si="5"/>
        <v>212080</v>
      </c>
      <c r="K16" s="194">
        <f t="shared" si="5"/>
        <v>72880</v>
      </c>
      <c r="L16" s="194">
        <f t="shared" si="5"/>
        <v>190289</v>
      </c>
      <c r="M16" s="194">
        <f t="shared" si="5"/>
        <v>77526</v>
      </c>
      <c r="N16" s="194">
        <f t="shared" si="5"/>
        <v>201898</v>
      </c>
      <c r="O16" s="194">
        <f t="shared" si="5"/>
        <v>91059</v>
      </c>
      <c r="P16" s="194">
        <f>P13+P15</f>
        <v>118262</v>
      </c>
      <c r="Q16" s="194">
        <v>68172</v>
      </c>
      <c r="R16" s="194">
        <f t="shared" ref="R16" si="6">R13+R15</f>
        <v>141443</v>
      </c>
      <c r="S16" s="194">
        <f>S13+S15</f>
        <v>77035</v>
      </c>
      <c r="T16" s="194">
        <v>83946</v>
      </c>
      <c r="U16" s="106">
        <v>92081</v>
      </c>
      <c r="V16" s="106">
        <v>166486</v>
      </c>
      <c r="W16" s="106">
        <f>W13+W15</f>
        <v>67811</v>
      </c>
      <c r="X16" s="106">
        <f>X13+X15</f>
        <v>92510</v>
      </c>
      <c r="Y16" s="106">
        <f>Y13+Y15</f>
        <v>21438</v>
      </c>
      <c r="Z16" s="106">
        <v>126741</v>
      </c>
      <c r="AA16" s="106">
        <v>100727</v>
      </c>
      <c r="AB16" s="106">
        <v>44942</v>
      </c>
      <c r="AC16" s="106">
        <v>30627</v>
      </c>
      <c r="AD16" s="106">
        <v>110879</v>
      </c>
      <c r="AE16" s="106">
        <f>AE13+AE15</f>
        <v>51432</v>
      </c>
      <c r="AF16" s="106">
        <f>AF13+AF15</f>
        <v>52748</v>
      </c>
      <c r="AG16" s="106">
        <f t="shared" ref="AG16:AO16" si="7">AG13+AG15</f>
        <v>33733</v>
      </c>
      <c r="AH16" s="106">
        <f t="shared" si="7"/>
        <v>122287</v>
      </c>
      <c r="AI16" s="106">
        <f t="shared" si="7"/>
        <v>34498</v>
      </c>
      <c r="AJ16" s="106">
        <f t="shared" si="7"/>
        <v>51781</v>
      </c>
      <c r="AK16" s="106">
        <f t="shared" si="7"/>
        <v>22588</v>
      </c>
      <c r="AL16" s="106">
        <f t="shared" si="7"/>
        <v>85365.599999999977</v>
      </c>
      <c r="AM16" s="106">
        <f t="shared" si="7"/>
        <v>40407</v>
      </c>
      <c r="AN16" s="106">
        <f t="shared" si="7"/>
        <v>46626</v>
      </c>
      <c r="AO16" s="106">
        <f t="shared" si="7"/>
        <v>28747</v>
      </c>
    </row>
    <row r="17" spans="1:41" x14ac:dyDescent="0.35">
      <c r="A17" s="86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</row>
    <row r="18" spans="1:41" ht="15" thickBot="1" x14ac:dyDescent="0.4">
      <c r="A18" s="86" t="s">
        <v>78</v>
      </c>
      <c r="B18" s="193">
        <v>-63405</v>
      </c>
      <c r="C18" s="193">
        <v>-36210</v>
      </c>
      <c r="D18" s="193">
        <v>-38043</v>
      </c>
      <c r="E18" s="193">
        <v>-27515</v>
      </c>
      <c r="F18" s="193">
        <v>-50786</v>
      </c>
      <c r="G18" s="193">
        <v>-68496</v>
      </c>
      <c r="H18" s="193">
        <v>-22768</v>
      </c>
      <c r="I18" s="193">
        <v>-20859</v>
      </c>
      <c r="J18" s="193">
        <v>-53629</v>
      </c>
      <c r="K18" s="193">
        <v>-15060</v>
      </c>
      <c r="L18" s="193">
        <v>-39728</v>
      </c>
      <c r="M18" s="193">
        <v>-15970</v>
      </c>
      <c r="N18" s="193">
        <v>-47269</v>
      </c>
      <c r="O18" s="193">
        <v>-18758</v>
      </c>
      <c r="P18" s="193">
        <v>-24362</v>
      </c>
      <c r="Q18" s="193">
        <v>-14043</v>
      </c>
      <c r="R18" s="193">
        <v>-28978</v>
      </c>
      <c r="S18" s="193">
        <v>-14155</v>
      </c>
      <c r="T18" s="193">
        <v>-17610</v>
      </c>
      <c r="U18" s="104">
        <v>-18969</v>
      </c>
      <c r="V18" s="104">
        <v>-33879</v>
      </c>
      <c r="W18" s="104">
        <v>-14465</v>
      </c>
      <c r="X18" s="104">
        <v>-19794</v>
      </c>
      <c r="Y18" s="104">
        <v>-4594</v>
      </c>
      <c r="Z18" s="104">
        <v>-27529</v>
      </c>
      <c r="AA18" s="104">
        <v>-21547</v>
      </c>
      <c r="AB18" s="104">
        <v>-10034</v>
      </c>
      <c r="AC18" s="104">
        <v>-6573</v>
      </c>
      <c r="AD18" s="104">
        <v>-20487</v>
      </c>
      <c r="AE18" s="104">
        <v>-11101</v>
      </c>
      <c r="AF18" s="104">
        <v>-11079</v>
      </c>
      <c r="AG18" s="104">
        <v>-7146</v>
      </c>
      <c r="AH18" s="104">
        <v>-24062</v>
      </c>
      <c r="AI18" s="104">
        <v>-7626</v>
      </c>
      <c r="AJ18" s="104">
        <v>-9832</v>
      </c>
      <c r="AK18" s="104">
        <v>-4929</v>
      </c>
      <c r="AL18" s="104">
        <v>-21213</v>
      </c>
      <c r="AM18" s="104">
        <v>-9574</v>
      </c>
      <c r="AN18" s="104">
        <v>-10238</v>
      </c>
      <c r="AO18" s="104">
        <v>-6339</v>
      </c>
    </row>
    <row r="19" spans="1:41" ht="15" thickBot="1" x14ac:dyDescent="0.4">
      <c r="A19" s="105" t="s">
        <v>79</v>
      </c>
      <c r="B19" s="194">
        <f>B16+B18+1</f>
        <v>157493</v>
      </c>
      <c r="C19" s="194">
        <f>C16+C18</f>
        <v>155101</v>
      </c>
      <c r="D19" s="194">
        <f>D16+D18+1</f>
        <v>148399</v>
      </c>
      <c r="E19" s="194">
        <f>E16+E18</f>
        <v>102785</v>
      </c>
      <c r="F19" s="194">
        <f t="shared" ref="F19:O19" si="8">F16+F18</f>
        <v>131202</v>
      </c>
      <c r="G19" s="194">
        <f t="shared" si="8"/>
        <v>264010</v>
      </c>
      <c r="H19" s="194">
        <f t="shared" si="8"/>
        <v>87759</v>
      </c>
      <c r="I19" s="194">
        <f t="shared" si="8"/>
        <v>80401</v>
      </c>
      <c r="J19" s="194">
        <f t="shared" si="8"/>
        <v>158451</v>
      </c>
      <c r="K19" s="194">
        <f t="shared" si="8"/>
        <v>57820</v>
      </c>
      <c r="L19" s="194">
        <f t="shared" si="8"/>
        <v>150561</v>
      </c>
      <c r="M19" s="194">
        <f t="shared" si="8"/>
        <v>61556</v>
      </c>
      <c r="N19" s="194">
        <f t="shared" si="8"/>
        <v>154629</v>
      </c>
      <c r="O19" s="194">
        <f t="shared" si="8"/>
        <v>72301</v>
      </c>
      <c r="P19" s="194">
        <f>P16+P18</f>
        <v>93900</v>
      </c>
      <c r="Q19" s="194">
        <v>54128</v>
      </c>
      <c r="R19" s="194">
        <f t="shared" ref="R19" si="9">R16+R18</f>
        <v>112465</v>
      </c>
      <c r="S19" s="194">
        <f>S16+S18</f>
        <v>62880</v>
      </c>
      <c r="T19" s="194">
        <v>66336</v>
      </c>
      <c r="U19" s="106">
        <v>73112</v>
      </c>
      <c r="V19" s="106">
        <v>132607</v>
      </c>
      <c r="W19" s="106">
        <f t="shared" ref="W19:X19" si="10">W16+W18</f>
        <v>53346</v>
      </c>
      <c r="X19" s="106">
        <f t="shared" si="10"/>
        <v>72716</v>
      </c>
      <c r="Y19" s="106">
        <f>Y16+Y18</f>
        <v>16844</v>
      </c>
      <c r="Z19" s="106">
        <v>99212</v>
      </c>
      <c r="AA19" s="106">
        <v>79180</v>
      </c>
      <c r="AB19" s="106">
        <v>34908</v>
      </c>
      <c r="AC19" s="106">
        <v>24054</v>
      </c>
      <c r="AD19" s="106">
        <v>90392</v>
      </c>
      <c r="AE19" s="106">
        <f>AE16+AE18</f>
        <v>40331</v>
      </c>
      <c r="AF19" s="106">
        <f>AF16+AF18</f>
        <v>41669</v>
      </c>
      <c r="AG19" s="106">
        <f t="shared" ref="AG19:AO19" si="11">AG16+AG18</f>
        <v>26587</v>
      </c>
      <c r="AH19" s="106">
        <f t="shared" si="11"/>
        <v>98225</v>
      </c>
      <c r="AI19" s="106">
        <f t="shared" si="11"/>
        <v>26872</v>
      </c>
      <c r="AJ19" s="106">
        <f t="shared" si="11"/>
        <v>41949</v>
      </c>
      <c r="AK19" s="106">
        <f t="shared" si="11"/>
        <v>17659</v>
      </c>
      <c r="AL19" s="106">
        <f t="shared" si="11"/>
        <v>64152.599999999977</v>
      </c>
      <c r="AM19" s="106">
        <f t="shared" si="11"/>
        <v>30833</v>
      </c>
      <c r="AN19" s="106">
        <f t="shared" si="11"/>
        <v>36388</v>
      </c>
      <c r="AO19" s="106">
        <f t="shared" si="11"/>
        <v>22408</v>
      </c>
    </row>
    <row r="20" spans="1:41" x14ac:dyDescent="0.35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94"/>
      <c r="S20" s="194"/>
      <c r="T20" s="194"/>
      <c r="U20" s="105"/>
      <c r="V20" s="105"/>
      <c r="W20" s="105"/>
      <c r="X20" s="105"/>
      <c r="Y20" s="105"/>
      <c r="Z20" s="105"/>
      <c r="AA20" s="105"/>
      <c r="AB20" s="105"/>
      <c r="AC20" s="105"/>
      <c r="AD20" s="110"/>
      <c r="AE20" s="106"/>
      <c r="AF20" s="106"/>
      <c r="AG20" s="106"/>
      <c r="AH20" s="106"/>
      <c r="AI20" s="106"/>
      <c r="AJ20" s="111"/>
      <c r="AK20" s="111"/>
      <c r="AL20" s="111"/>
      <c r="AM20" s="106"/>
      <c r="AN20" s="111"/>
      <c r="AO20" s="111"/>
    </row>
    <row r="21" spans="1:41" ht="23.25" customHeight="1" x14ac:dyDescent="0.35">
      <c r="A21" s="102" t="s">
        <v>80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96"/>
      <c r="S21" s="196"/>
      <c r="T21" s="196"/>
      <c r="U21" s="102"/>
      <c r="V21" s="102"/>
      <c r="W21" s="102"/>
      <c r="X21" s="102"/>
      <c r="Y21" s="102"/>
      <c r="Z21" s="102"/>
      <c r="AA21" s="102"/>
      <c r="AB21" s="102"/>
      <c r="AC21" s="102"/>
      <c r="AD21" s="112"/>
      <c r="AE21" s="113"/>
      <c r="AF21" s="113"/>
      <c r="AG21" s="113"/>
      <c r="AH21" s="113"/>
      <c r="AI21" s="104"/>
      <c r="AJ21" s="104"/>
      <c r="AK21" s="104"/>
      <c r="AL21" s="104"/>
      <c r="AM21" s="104"/>
      <c r="AN21" s="104"/>
      <c r="AO21" s="104"/>
    </row>
    <row r="22" spans="1:41" x14ac:dyDescent="0.35">
      <c r="A22" s="81" t="s">
        <v>81</v>
      </c>
      <c r="B22" s="197">
        <f t="shared" ref="B22:G22" si="12">B19</f>
        <v>157493</v>
      </c>
      <c r="C22" s="197">
        <f t="shared" si="12"/>
        <v>155101</v>
      </c>
      <c r="D22" s="197">
        <f t="shared" si="12"/>
        <v>148399</v>
      </c>
      <c r="E22" s="197">
        <f t="shared" si="12"/>
        <v>102785</v>
      </c>
      <c r="F22" s="197">
        <f t="shared" si="12"/>
        <v>131202</v>
      </c>
      <c r="G22" s="197">
        <f t="shared" si="12"/>
        <v>264010</v>
      </c>
      <c r="H22" s="197">
        <f>H19</f>
        <v>87759</v>
      </c>
      <c r="I22" s="197">
        <f t="shared" ref="I22:N22" si="13">I19</f>
        <v>80401</v>
      </c>
      <c r="J22" s="197">
        <f t="shared" si="13"/>
        <v>158451</v>
      </c>
      <c r="K22" s="197">
        <f t="shared" si="13"/>
        <v>57820</v>
      </c>
      <c r="L22" s="197">
        <f t="shared" si="13"/>
        <v>150561</v>
      </c>
      <c r="M22" s="197">
        <f t="shared" si="13"/>
        <v>61556</v>
      </c>
      <c r="N22" s="197">
        <f t="shared" si="13"/>
        <v>154629</v>
      </c>
      <c r="O22" s="197">
        <f>O19</f>
        <v>72301</v>
      </c>
      <c r="P22" s="197">
        <f>P19</f>
        <v>93900</v>
      </c>
      <c r="Q22" s="197">
        <v>54128</v>
      </c>
      <c r="R22" s="197">
        <v>112465</v>
      </c>
      <c r="S22" s="197">
        <v>62880</v>
      </c>
      <c r="T22" s="197">
        <v>66336</v>
      </c>
      <c r="U22" s="143">
        <v>73112</v>
      </c>
      <c r="V22" s="143">
        <v>132607</v>
      </c>
      <c r="W22" s="143">
        <f>W19</f>
        <v>53346</v>
      </c>
      <c r="X22" s="143">
        <f>X19</f>
        <v>72716</v>
      </c>
      <c r="Y22" s="143">
        <v>16844</v>
      </c>
      <c r="Z22" s="143">
        <v>99212</v>
      </c>
      <c r="AA22" s="143">
        <v>79180</v>
      </c>
      <c r="AB22" s="143">
        <v>34908</v>
      </c>
      <c r="AC22" s="143">
        <v>24054</v>
      </c>
      <c r="AD22" s="143">
        <v>90392</v>
      </c>
      <c r="AE22" s="143">
        <v>40331</v>
      </c>
      <c r="AF22" s="143">
        <v>41669</v>
      </c>
      <c r="AG22" s="143">
        <v>26587</v>
      </c>
      <c r="AH22" s="143">
        <v>98225</v>
      </c>
      <c r="AI22" s="143">
        <v>26872</v>
      </c>
      <c r="AJ22" s="143">
        <v>41949</v>
      </c>
      <c r="AK22" s="143">
        <v>17659</v>
      </c>
      <c r="AL22" s="143">
        <v>64153</v>
      </c>
      <c r="AM22" s="143">
        <v>30833</v>
      </c>
      <c r="AN22" s="143">
        <v>36388</v>
      </c>
      <c r="AO22" s="143">
        <v>22408</v>
      </c>
    </row>
    <row r="23" spans="1:41" ht="15" thickBot="1" x14ac:dyDescent="0.4">
      <c r="A23" s="86" t="s">
        <v>82</v>
      </c>
      <c r="B23" s="86">
        <v>0</v>
      </c>
      <c r="C23" s="86">
        <v>0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6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98">
        <v>0</v>
      </c>
      <c r="AE23" s="104">
        <v>0</v>
      </c>
      <c r="AF23" s="104">
        <v>0</v>
      </c>
      <c r="AG23" s="104">
        <v>0</v>
      </c>
      <c r="AH23" s="104">
        <v>0</v>
      </c>
      <c r="AI23" s="104">
        <v>0</v>
      </c>
      <c r="AJ23" s="104">
        <v>0</v>
      </c>
      <c r="AK23" s="104">
        <v>0</v>
      </c>
      <c r="AL23" s="104">
        <v>0</v>
      </c>
      <c r="AM23" s="104">
        <v>0</v>
      </c>
      <c r="AN23" s="104">
        <v>0</v>
      </c>
      <c r="AO23" s="104">
        <v>0</v>
      </c>
    </row>
    <row r="24" spans="1:41" x14ac:dyDescent="0.3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10"/>
      <c r="AE24" s="110"/>
      <c r="AF24" s="110"/>
      <c r="AG24" s="110"/>
      <c r="AH24" s="110"/>
      <c r="AI24" s="110"/>
      <c r="AJ24" s="114"/>
      <c r="AK24" s="114"/>
      <c r="AL24" s="114"/>
      <c r="AM24" s="110"/>
      <c r="AN24" s="114"/>
      <c r="AO24" s="114"/>
    </row>
    <row r="25" spans="1:41" x14ac:dyDescent="0.35">
      <c r="A25" s="102" t="s">
        <v>83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98"/>
      <c r="AE25" s="98"/>
      <c r="AF25" s="98"/>
      <c r="AG25" s="98"/>
      <c r="AH25" s="98"/>
      <c r="AI25" s="122"/>
      <c r="AJ25" s="98"/>
      <c r="AK25" s="98"/>
      <c r="AL25" s="98"/>
      <c r="AM25" s="98"/>
      <c r="AN25" s="98"/>
      <c r="AO25" s="98"/>
    </row>
    <row r="26" spans="1:41" x14ac:dyDescent="0.35">
      <c r="A26" s="81" t="s">
        <v>84</v>
      </c>
      <c r="B26" s="235">
        <v>0.82</v>
      </c>
      <c r="C26" s="235">
        <v>0.81</v>
      </c>
      <c r="D26" s="235">
        <v>0.77</v>
      </c>
      <c r="E26" s="235">
        <v>0.53</v>
      </c>
      <c r="F26" s="235">
        <v>0.68</v>
      </c>
      <c r="G26" s="235">
        <v>1.37</v>
      </c>
      <c r="H26" s="235">
        <v>0.46</v>
      </c>
      <c r="I26" s="235">
        <v>0.42</v>
      </c>
      <c r="J26" s="235">
        <v>0.82</v>
      </c>
      <c r="K26" s="235">
        <v>0.3</v>
      </c>
      <c r="L26" s="235">
        <v>0.78</v>
      </c>
      <c r="M26" s="235">
        <v>0.32</v>
      </c>
      <c r="N26" s="235">
        <v>0.8</v>
      </c>
      <c r="O26" s="81">
        <v>0.38</v>
      </c>
      <c r="P26" s="81">
        <v>0.49</v>
      </c>
      <c r="Q26" s="81">
        <v>0.28000000000000003</v>
      </c>
      <c r="R26" s="199">
        <v>0.57999999999999996</v>
      </c>
      <c r="S26" s="199">
        <v>0.33</v>
      </c>
      <c r="T26" s="199">
        <v>0.34</v>
      </c>
      <c r="U26" s="199">
        <f>1.9/5</f>
        <v>0.38</v>
      </c>
      <c r="V26" s="199">
        <f>3.44/5</f>
        <v>0.68799999999999994</v>
      </c>
      <c r="W26" s="199">
        <f>1.38/5</f>
        <v>0.27599999999999997</v>
      </c>
      <c r="X26" s="199">
        <f>1.89/5</f>
        <v>0.378</v>
      </c>
      <c r="Y26" s="199">
        <f>0.44/5</f>
        <v>8.7999999999999995E-2</v>
      </c>
      <c r="Z26" s="199">
        <f>2.58/5</f>
        <v>0.51600000000000001</v>
      </c>
      <c r="AA26" s="199">
        <f>2.06/5</f>
        <v>0.41200000000000003</v>
      </c>
      <c r="AB26" s="144">
        <f>0.91/5</f>
        <v>0.182</v>
      </c>
      <c r="AC26" s="144">
        <f>0.63/5</f>
        <v>0.126</v>
      </c>
      <c r="AD26" s="144">
        <f>2.36/5</f>
        <v>0.47199999999999998</v>
      </c>
      <c r="AE26" s="144">
        <f>1.06/5</f>
        <v>0.21200000000000002</v>
      </c>
      <c r="AF26" s="144">
        <f>1.09/5</f>
        <v>0.21800000000000003</v>
      </c>
      <c r="AG26" s="144">
        <f>0.7/5</f>
        <v>0.13999999999999999</v>
      </c>
      <c r="AH26" s="144">
        <f>2.58/5</f>
        <v>0.51600000000000001</v>
      </c>
      <c r="AI26" s="144">
        <f>0.71/5</f>
        <v>0.14199999999999999</v>
      </c>
      <c r="AJ26" s="144">
        <f>1.11/5</f>
        <v>0.22200000000000003</v>
      </c>
      <c r="AK26" s="144">
        <f>0.47/5</f>
        <v>9.4E-2</v>
      </c>
      <c r="AL26" s="144">
        <f>1.69/5</f>
        <v>0.33799999999999997</v>
      </c>
      <c r="AM26" s="144">
        <f>0.81/5</f>
        <v>0.16200000000000001</v>
      </c>
      <c r="AN26" s="144">
        <f>0.97/5</f>
        <v>0.19400000000000001</v>
      </c>
      <c r="AO26" s="144">
        <f>0.6/5</f>
        <v>0.12</v>
      </c>
    </row>
    <row r="27" spans="1:41" x14ac:dyDescent="0.35">
      <c r="A27" s="140" t="s">
        <v>85</v>
      </c>
      <c r="B27" s="236">
        <v>0.82</v>
      </c>
      <c r="C27" s="236">
        <v>0.81</v>
      </c>
      <c r="D27" s="236">
        <v>0.77</v>
      </c>
      <c r="E27" s="236">
        <v>0.53</v>
      </c>
      <c r="F27" s="236">
        <v>0.68</v>
      </c>
      <c r="G27" s="236">
        <v>1.37</v>
      </c>
      <c r="H27" s="236">
        <v>0.46</v>
      </c>
      <c r="I27" s="236">
        <v>0.42</v>
      </c>
      <c r="J27" s="236">
        <v>0.82</v>
      </c>
      <c r="K27" s="236">
        <v>0.3</v>
      </c>
      <c r="L27" s="236">
        <v>0.78</v>
      </c>
      <c r="M27" s="236">
        <v>0.32</v>
      </c>
      <c r="N27" s="236">
        <v>0.8</v>
      </c>
      <c r="O27" s="140">
        <v>0.38</v>
      </c>
      <c r="P27" s="140">
        <v>0.49</v>
      </c>
      <c r="Q27" s="140">
        <v>0.28000000000000003</v>
      </c>
      <c r="R27" s="200">
        <v>0.57999999999999996</v>
      </c>
      <c r="S27" s="200">
        <v>0.33</v>
      </c>
      <c r="T27" s="200">
        <v>0.34</v>
      </c>
      <c r="U27" s="200">
        <f>1.9/5</f>
        <v>0.38</v>
      </c>
      <c r="V27" s="200">
        <f>3.44/5</f>
        <v>0.68799999999999994</v>
      </c>
      <c r="W27" s="200">
        <f>1.38/5</f>
        <v>0.27599999999999997</v>
      </c>
      <c r="X27" s="200">
        <f>1.89/5</f>
        <v>0.378</v>
      </c>
      <c r="Y27" s="200">
        <f>0.44/5</f>
        <v>8.7999999999999995E-2</v>
      </c>
      <c r="Z27" s="200">
        <f>2.57/5</f>
        <v>0.51400000000000001</v>
      </c>
      <c r="AA27" s="200">
        <f>2.05/5</f>
        <v>0.41</v>
      </c>
      <c r="AB27" s="145">
        <f>0.91/5</f>
        <v>0.182</v>
      </c>
      <c r="AC27" s="145">
        <f>0.62/5</f>
        <v>0.124</v>
      </c>
      <c r="AD27" s="145">
        <f>2.35/5</f>
        <v>0.47000000000000003</v>
      </c>
      <c r="AE27" s="145">
        <f>1.05/5</f>
        <v>0.21000000000000002</v>
      </c>
      <c r="AF27" s="145">
        <f>1.08/5</f>
        <v>0.21600000000000003</v>
      </c>
      <c r="AG27" s="145">
        <f>0.69/5</f>
        <v>0.13799999999999998</v>
      </c>
      <c r="AH27" s="145">
        <f>2.55/5</f>
        <v>0.51</v>
      </c>
      <c r="AI27" s="145">
        <f>0.7/5</f>
        <v>0.13999999999999999</v>
      </c>
      <c r="AJ27" s="145">
        <f>1.09/5</f>
        <v>0.21800000000000003</v>
      </c>
      <c r="AK27" s="145">
        <f>0.46/5</f>
        <v>9.1999999999999998E-2</v>
      </c>
      <c r="AL27" s="145">
        <f>1.67/5</f>
        <v>0.33399999999999996</v>
      </c>
      <c r="AM27" s="145">
        <f>0.8/5</f>
        <v>0.16</v>
      </c>
      <c r="AN27" s="145">
        <f>0.95/5</f>
        <v>0.19</v>
      </c>
      <c r="AO27" s="145">
        <f>0.58/5</f>
        <v>0.11599999999999999</v>
      </c>
    </row>
    <row r="28" spans="1:41" x14ac:dyDescent="0.35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</row>
    <row r="29" spans="1:41" x14ac:dyDescent="0.35">
      <c r="A29" s="102" t="s">
        <v>86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</row>
    <row r="30" spans="1:41" x14ac:dyDescent="0.35">
      <c r="A30" s="81" t="s">
        <v>87</v>
      </c>
      <c r="B30" s="197">
        <v>192667489</v>
      </c>
      <c r="C30" s="197">
        <v>192667489</v>
      </c>
      <c r="D30" s="197">
        <v>192667489</v>
      </c>
      <c r="E30" s="197">
        <v>192667489</v>
      </c>
      <c r="F30" s="197">
        <v>192667489</v>
      </c>
      <c r="G30" s="197">
        <v>192667489</v>
      </c>
      <c r="H30" s="197">
        <v>192667489</v>
      </c>
      <c r="I30" s="197">
        <v>192667489</v>
      </c>
      <c r="J30" s="197">
        <v>192667489</v>
      </c>
      <c r="K30" s="197">
        <v>192667489</v>
      </c>
      <c r="L30" s="197">
        <v>192667489</v>
      </c>
      <c r="M30" s="197">
        <v>192667489</v>
      </c>
      <c r="N30" s="197">
        <v>192667489</v>
      </c>
      <c r="O30" s="197">
        <v>192667489</v>
      </c>
      <c r="P30" s="197">
        <v>192662325</v>
      </c>
      <c r="Q30" s="197">
        <v>192662325</v>
      </c>
      <c r="R30" s="197">
        <v>192662325</v>
      </c>
      <c r="S30" s="197">
        <v>192662325</v>
      </c>
      <c r="T30" s="197">
        <v>192627470</v>
      </c>
      <c r="U30" s="143">
        <f>38525494*5</f>
        <v>192627470</v>
      </c>
      <c r="V30" s="143">
        <f>38525494*5</f>
        <v>192627470</v>
      </c>
      <c r="W30" s="143">
        <f>38525494*5</f>
        <v>192627470</v>
      </c>
      <c r="X30" s="143">
        <f>38506020*5</f>
        <v>192530100</v>
      </c>
      <c r="Y30" s="143">
        <f>38506020*5</f>
        <v>192530100</v>
      </c>
      <c r="Z30" s="143">
        <f>38506020*5</f>
        <v>192530100</v>
      </c>
      <c r="AA30" s="143">
        <f>38506020*5</f>
        <v>192530100</v>
      </c>
      <c r="AB30" s="143">
        <f>38352871*5</f>
        <v>191764355</v>
      </c>
      <c r="AC30" s="143">
        <f>38352871*5</f>
        <v>191764355</v>
      </c>
      <c r="AD30" s="143">
        <f>38352871*5</f>
        <v>191764355</v>
      </c>
      <c r="AE30" s="143">
        <f>38352871*5</f>
        <v>191764355</v>
      </c>
      <c r="AF30" s="143">
        <f>38119669*5</f>
        <v>190598345</v>
      </c>
      <c r="AG30" s="143">
        <f>38119669*5</f>
        <v>190598345</v>
      </c>
      <c r="AH30" s="143">
        <f>38119669*5</f>
        <v>190598345</v>
      </c>
      <c r="AI30" s="143">
        <f>38119669*5</f>
        <v>190598345</v>
      </c>
      <c r="AJ30" s="143">
        <f>37935001*5</f>
        <v>189675005</v>
      </c>
      <c r="AK30" s="143">
        <f>37935001*5</f>
        <v>189675005</v>
      </c>
      <c r="AL30" s="143">
        <f>37890085*5</f>
        <v>189450425</v>
      </c>
      <c r="AM30" s="143">
        <f>37890085*5</f>
        <v>189450425</v>
      </c>
      <c r="AN30" s="143">
        <f>37686105*5</f>
        <v>188430525</v>
      </c>
      <c r="AO30" s="143">
        <f>37686105*5</f>
        <v>188430525</v>
      </c>
    </row>
    <row r="31" spans="1:41" x14ac:dyDescent="0.35">
      <c r="A31" s="140" t="s">
        <v>88</v>
      </c>
      <c r="B31" s="192">
        <v>192667489</v>
      </c>
      <c r="C31" s="192">
        <v>192667489</v>
      </c>
      <c r="D31" s="192">
        <v>192667489</v>
      </c>
      <c r="E31" s="192">
        <v>192667489</v>
      </c>
      <c r="F31" s="192">
        <v>192667489</v>
      </c>
      <c r="G31" s="192">
        <v>192667489</v>
      </c>
      <c r="H31" s="192">
        <v>192667489</v>
      </c>
      <c r="I31" s="192">
        <v>192667489</v>
      </c>
      <c r="J31" s="192">
        <v>192667489</v>
      </c>
      <c r="K31" s="192">
        <v>192667489</v>
      </c>
      <c r="L31" s="192">
        <v>192667489</v>
      </c>
      <c r="M31" s="192">
        <v>192667489</v>
      </c>
      <c r="N31" s="192">
        <v>192667489</v>
      </c>
      <c r="O31" s="192">
        <v>192667489</v>
      </c>
      <c r="P31" s="192">
        <v>192667455</v>
      </c>
      <c r="Q31" s="192">
        <v>192667455</v>
      </c>
      <c r="R31" s="192">
        <v>192667455</v>
      </c>
      <c r="S31" s="192">
        <v>192667455</v>
      </c>
      <c r="T31" s="192">
        <v>192667310</v>
      </c>
      <c r="U31" s="141">
        <f>38533462*5</f>
        <v>192667310</v>
      </c>
      <c r="V31" s="141">
        <f>38533462*5</f>
        <v>192667310</v>
      </c>
      <c r="W31" s="141">
        <f>38533462*5</f>
        <v>192667310</v>
      </c>
      <c r="X31" s="141">
        <f>38533253*5</f>
        <v>192666265</v>
      </c>
      <c r="Y31" s="141">
        <f>38533253*5</f>
        <v>192666265</v>
      </c>
      <c r="Z31" s="141">
        <f>38533253*5</f>
        <v>192666265</v>
      </c>
      <c r="AA31" s="141">
        <f>38533253*5</f>
        <v>192666265</v>
      </c>
      <c r="AB31" s="141">
        <f>38530851*5</f>
        <v>192654255</v>
      </c>
      <c r="AC31" s="141">
        <f>38530851*5</f>
        <v>192654255</v>
      </c>
      <c r="AD31" s="141">
        <f>38530851*5</f>
        <v>192654255</v>
      </c>
      <c r="AE31" s="141">
        <f>38530851*5</f>
        <v>192654255</v>
      </c>
      <c r="AF31" s="141">
        <f>38515550*5</f>
        <v>192577750</v>
      </c>
      <c r="AG31" s="141">
        <f>38515550*5</f>
        <v>192577750</v>
      </c>
      <c r="AH31" s="141">
        <f>38515550*5</f>
        <v>192577750</v>
      </c>
      <c r="AI31" s="141">
        <f>38515550*5</f>
        <v>192577750</v>
      </c>
      <c r="AJ31" s="141">
        <f>38499137*5</f>
        <v>192495685</v>
      </c>
      <c r="AK31" s="141">
        <f>38499139*5</f>
        <v>192495695</v>
      </c>
      <c r="AL31" s="141">
        <f>38499139*5</f>
        <v>192495695</v>
      </c>
      <c r="AM31" s="141">
        <f>38499139*5</f>
        <v>192495695</v>
      </c>
      <c r="AN31" s="141">
        <f>38341746*5</f>
        <v>191708730</v>
      </c>
      <c r="AO31" s="141">
        <f>38341746*5</f>
        <v>191708730</v>
      </c>
    </row>
    <row r="32" spans="1:41" x14ac:dyDescent="0.35">
      <c r="A32" s="140" t="s">
        <v>89</v>
      </c>
      <c r="B32" s="192">
        <v>192667489</v>
      </c>
      <c r="C32" s="192">
        <v>192667489</v>
      </c>
      <c r="D32" s="192">
        <v>192667489</v>
      </c>
      <c r="E32" s="192">
        <v>192667489</v>
      </c>
      <c r="F32" s="192">
        <v>192667489</v>
      </c>
      <c r="G32" s="192">
        <v>192667489</v>
      </c>
      <c r="H32" s="192">
        <v>192667489</v>
      </c>
      <c r="I32" s="192">
        <v>192667489</v>
      </c>
      <c r="J32" s="192">
        <v>192667489</v>
      </c>
      <c r="K32" s="192">
        <v>192667489</v>
      </c>
      <c r="L32" s="192">
        <v>192667489</v>
      </c>
      <c r="M32" s="192">
        <v>192667489</v>
      </c>
      <c r="N32" s="192">
        <v>192667489</v>
      </c>
      <c r="O32" s="192">
        <v>192664046</v>
      </c>
      <c r="P32" s="192">
        <v>192662325</v>
      </c>
      <c r="Q32" s="192">
        <v>192662325</v>
      </c>
      <c r="R32" s="192">
        <v>192662325</v>
      </c>
      <c r="S32" s="192">
        <v>192639088</v>
      </c>
      <c r="T32" s="192">
        <v>192627470</v>
      </c>
      <c r="U32" s="141">
        <f>38525494*5</f>
        <v>192627470</v>
      </c>
      <c r="V32" s="141">
        <f>38525494*5</f>
        <v>192627470</v>
      </c>
      <c r="W32" s="141">
        <f>38519003*5</f>
        <v>192595015</v>
      </c>
      <c r="X32" s="141">
        <f>38506020*5</f>
        <v>192530100</v>
      </c>
      <c r="Y32" s="141">
        <f>38506020*5</f>
        <v>192530100</v>
      </c>
      <c r="Z32" s="141">
        <f>38506020*5</f>
        <v>192530100</v>
      </c>
      <c r="AA32" s="141">
        <f>38454970*5</f>
        <v>192274850</v>
      </c>
      <c r="AB32" s="141">
        <f>38352871*5</f>
        <v>191764355</v>
      </c>
      <c r="AC32" s="141">
        <f>38352871*5</f>
        <v>191764355</v>
      </c>
      <c r="AD32" s="141">
        <f>38352871*5</f>
        <v>191764355</v>
      </c>
      <c r="AE32" s="141">
        <f>38197403*5</f>
        <v>190987015</v>
      </c>
      <c r="AF32" s="141">
        <f>38119669*5</f>
        <v>190598345</v>
      </c>
      <c r="AG32" s="141">
        <f>38119669*5</f>
        <v>190598345</v>
      </c>
      <c r="AH32" s="143">
        <f>38119669*5</f>
        <v>190598345</v>
      </c>
      <c r="AI32" s="141">
        <f>38075119*5</f>
        <v>190375595</v>
      </c>
      <c r="AJ32" s="141">
        <f>37935001*5</f>
        <v>189675005</v>
      </c>
      <c r="AK32" s="141">
        <f>37920029*5</f>
        <v>189600145</v>
      </c>
      <c r="AL32" s="141">
        <f>37890085*5</f>
        <v>189450425</v>
      </c>
      <c r="AM32" s="141">
        <f>37890085*5</f>
        <v>189450425</v>
      </c>
      <c r="AN32" s="141">
        <f>37686105*5</f>
        <v>188430525</v>
      </c>
      <c r="AO32" s="141">
        <f>37625182*5</f>
        <v>188125910</v>
      </c>
    </row>
    <row r="33" spans="1:41" ht="15" thickBot="1" x14ac:dyDescent="0.4">
      <c r="A33" s="108" t="s">
        <v>90</v>
      </c>
      <c r="B33" s="195">
        <v>192667489</v>
      </c>
      <c r="C33" s="195">
        <v>192667489</v>
      </c>
      <c r="D33" s="195">
        <v>192667489</v>
      </c>
      <c r="E33" s="195">
        <v>192667489</v>
      </c>
      <c r="F33" s="195">
        <v>192667489</v>
      </c>
      <c r="G33" s="195">
        <v>192667489</v>
      </c>
      <c r="H33" s="195">
        <v>192667489</v>
      </c>
      <c r="I33" s="195">
        <v>192667489</v>
      </c>
      <c r="J33" s="195">
        <v>192667489</v>
      </c>
      <c r="K33" s="195">
        <v>192667489</v>
      </c>
      <c r="L33" s="195">
        <v>192667489</v>
      </c>
      <c r="M33" s="195">
        <v>192667489</v>
      </c>
      <c r="N33" s="195">
        <v>192667489</v>
      </c>
      <c r="O33" s="195">
        <v>192667466</v>
      </c>
      <c r="P33" s="195">
        <v>192667455</v>
      </c>
      <c r="Q33" s="195">
        <v>192667455</v>
      </c>
      <c r="R33" s="195">
        <v>192667455</v>
      </c>
      <c r="S33" s="195">
        <v>192667350</v>
      </c>
      <c r="T33" s="195">
        <v>192667310</v>
      </c>
      <c r="U33" s="109">
        <f>38533462*5</f>
        <v>192667310</v>
      </c>
      <c r="V33" s="109">
        <f>38533462*5</f>
        <v>192667310</v>
      </c>
      <c r="W33" s="109">
        <f>38533392*5</f>
        <v>192666960</v>
      </c>
      <c r="X33" s="109">
        <f>38533253*5</f>
        <v>192666265</v>
      </c>
      <c r="Y33" s="109">
        <f>38533253*5</f>
        <v>192666265</v>
      </c>
      <c r="Z33" s="109">
        <f>38533253*5</f>
        <v>192666265</v>
      </c>
      <c r="AA33" s="109">
        <f>38532452*5</f>
        <v>192662260</v>
      </c>
      <c r="AB33" s="109">
        <f>38530851*5</f>
        <v>192654255</v>
      </c>
      <c r="AC33" s="109">
        <f>38530851*5</f>
        <v>192654255</v>
      </c>
      <c r="AD33" s="109">
        <f>38530851*5</f>
        <v>192654255</v>
      </c>
      <c r="AE33" s="109">
        <f>38530889*5</f>
        <v>192654445</v>
      </c>
      <c r="AF33" s="109">
        <f>38515550*5</f>
        <v>192577750</v>
      </c>
      <c r="AG33" s="109">
        <f>38515550*5</f>
        <v>192577750</v>
      </c>
      <c r="AH33" s="198">
        <f>38515550*5</f>
        <v>192577750</v>
      </c>
      <c r="AI33" s="109">
        <f>38510590*5</f>
        <v>192552950</v>
      </c>
      <c r="AJ33" s="109">
        <f>38499137*5</f>
        <v>192495685</v>
      </c>
      <c r="AK33" s="109">
        <f>38499139*5</f>
        <v>192495695</v>
      </c>
      <c r="AL33" s="109">
        <f>38499139*5</f>
        <v>192495695</v>
      </c>
      <c r="AM33" s="109">
        <f>38499139*5</f>
        <v>192495695</v>
      </c>
      <c r="AN33" s="109">
        <f>38341746*5</f>
        <v>191708730</v>
      </c>
      <c r="AO33" s="109">
        <f>38341746*5</f>
        <v>191708730</v>
      </c>
    </row>
    <row r="35" spans="1:41" x14ac:dyDescent="0.35">
      <c r="A35" s="81" t="s">
        <v>28</v>
      </c>
      <c r="B35" s="146">
        <f>B13/B5</f>
        <v>0.20238693236315208</v>
      </c>
      <c r="C35" s="146">
        <f t="shared" ref="C35" si="14">C13/C5</f>
        <v>0.21758378502603656</v>
      </c>
      <c r="D35" s="146">
        <f>D13/D5</f>
        <v>0.22177729862929307</v>
      </c>
      <c r="E35" s="146">
        <f t="shared" ref="E35:S35" si="15">E13/E5</f>
        <v>0.15511964421417138</v>
      </c>
      <c r="F35" s="146">
        <f t="shared" si="15"/>
        <v>0.21762765637392992</v>
      </c>
      <c r="G35" s="146">
        <f t="shared" si="15"/>
        <v>0.37091937765205091</v>
      </c>
      <c r="H35" s="146">
        <f t="shared" si="15"/>
        <v>0.14541074983410751</v>
      </c>
      <c r="I35" s="146">
        <f t="shared" si="15"/>
        <v>0.13789725849501822</v>
      </c>
      <c r="J35" s="146">
        <f t="shared" si="15"/>
        <v>0.21982445220648411</v>
      </c>
      <c r="K35" s="146">
        <f t="shared" si="15"/>
        <v>0.10713920359171865</v>
      </c>
      <c r="L35" s="146">
        <f t="shared" si="15"/>
        <v>0.22433336507029739</v>
      </c>
      <c r="M35" s="146">
        <f t="shared" si="15"/>
        <v>0.11873971072688308</v>
      </c>
      <c r="N35" s="146">
        <f t="shared" si="15"/>
        <v>0.27153744361483256</v>
      </c>
      <c r="O35" s="146">
        <f t="shared" si="15"/>
        <v>0.14985309196184698</v>
      </c>
      <c r="P35" s="146">
        <f t="shared" si="15"/>
        <v>0.19150205193487221</v>
      </c>
      <c r="Q35" s="146">
        <f t="shared" si="15"/>
        <v>0.1329301016961757</v>
      </c>
      <c r="R35" s="146">
        <f t="shared" si="15"/>
        <v>0.21747303254276043</v>
      </c>
      <c r="S35" s="146">
        <f t="shared" si="15"/>
        <v>0.14373977524975168</v>
      </c>
      <c r="T35" s="146">
        <f>T13/T5</f>
        <v>0.20015062941577305</v>
      </c>
      <c r="U35" s="181">
        <v>0.222</v>
      </c>
      <c r="V35" s="181">
        <v>0.311</v>
      </c>
      <c r="W35" s="146">
        <f t="shared" ref="W35" si="16">W13/W5</f>
        <v>0.1753665361791949</v>
      </c>
      <c r="X35" s="146">
        <f t="shared" ref="X35:AD35" si="17">X13/X5</f>
        <v>0.21697206739065719</v>
      </c>
      <c r="Y35" s="146">
        <f t="shared" si="17"/>
        <v>9.1618070680812194E-2</v>
      </c>
      <c r="Z35" s="146">
        <f t="shared" si="17"/>
        <v>0.24343699396002505</v>
      </c>
      <c r="AA35" s="146">
        <f t="shared" si="17"/>
        <v>0.21804023077713477</v>
      </c>
      <c r="AB35" s="146">
        <f t="shared" si="17"/>
        <v>0.11744804785460831</v>
      </c>
      <c r="AC35" s="146">
        <f t="shared" si="17"/>
        <v>8.8261096856766877E-2</v>
      </c>
      <c r="AD35" s="146">
        <f t="shared" si="17"/>
        <v>0.22087480013668753</v>
      </c>
      <c r="AE35" s="146">
        <f t="shared" ref="AE35:AO35" si="18">AE13/AE5</f>
        <v>0.15241384123785798</v>
      </c>
      <c r="AF35" s="146">
        <f t="shared" si="18"/>
        <v>0.14241392069983017</v>
      </c>
      <c r="AG35" s="146">
        <f t="shared" si="18"/>
        <v>0.12111534795042898</v>
      </c>
      <c r="AH35" s="146">
        <f t="shared" si="18"/>
        <v>0.25406337862511624</v>
      </c>
      <c r="AI35" s="146">
        <f t="shared" si="18"/>
        <v>0.13732832208370843</v>
      </c>
      <c r="AJ35" s="146">
        <f t="shared" si="18"/>
        <v>0.16080688167432636</v>
      </c>
      <c r="AK35" s="146">
        <f t="shared" si="18"/>
        <v>0.13583544412404361</v>
      </c>
      <c r="AL35" s="146">
        <f t="shared" si="18"/>
        <v>0.24171791017237773</v>
      </c>
      <c r="AM35" s="146">
        <f t="shared" si="18"/>
        <v>0.14188088662276044</v>
      </c>
      <c r="AN35" s="146">
        <f t="shared" si="18"/>
        <v>0.17341100132723786</v>
      </c>
      <c r="AO35" s="146">
        <f t="shared" si="18"/>
        <v>0.11611539707189066</v>
      </c>
    </row>
    <row r="36" spans="1:41" x14ac:dyDescent="0.35">
      <c r="A36" s="214" t="s">
        <v>91</v>
      </c>
      <c r="B36" s="188">
        <v>1551.6</v>
      </c>
      <c r="C36" s="188">
        <v>1306.7</v>
      </c>
      <c r="D36" s="188">
        <v>3431.6</v>
      </c>
      <c r="E36" s="188">
        <v>1309.5</v>
      </c>
      <c r="F36" s="188">
        <v>2900.3</v>
      </c>
      <c r="G36" s="188">
        <v>967.6</v>
      </c>
      <c r="H36" s="188">
        <v>4223.1000000000004</v>
      </c>
      <c r="I36" s="188">
        <v>615</v>
      </c>
      <c r="J36" s="188">
        <v>896.9</v>
      </c>
      <c r="K36" s="188">
        <v>1853.6</v>
      </c>
      <c r="L36" s="188">
        <v>503</v>
      </c>
      <c r="M36" s="188">
        <v>2970</v>
      </c>
      <c r="N36" s="188">
        <v>1186.9000000000001</v>
      </c>
      <c r="O36" s="188">
        <v>549.20000000000005</v>
      </c>
      <c r="P36" s="188">
        <v>664.2</v>
      </c>
      <c r="Q36" s="188">
        <v>2235.4</v>
      </c>
      <c r="R36" s="188">
        <v>1017.4</v>
      </c>
      <c r="S36" s="188">
        <v>439.6</v>
      </c>
      <c r="T36" s="188">
        <v>470</v>
      </c>
      <c r="U36" s="140">
        <v>393.2</v>
      </c>
      <c r="V36" s="140">
        <v>689.2</v>
      </c>
      <c r="W36" s="215">
        <v>598</v>
      </c>
      <c r="X36" s="140">
        <v>752.1</v>
      </c>
      <c r="Y36" s="140">
        <v>612.29999999999995</v>
      </c>
      <c r="Z36" s="140">
        <v>716.2</v>
      </c>
      <c r="AA36" s="91">
        <v>435.4</v>
      </c>
      <c r="AB36" s="91">
        <v>425.7</v>
      </c>
      <c r="AC36" s="91">
        <v>238.7</v>
      </c>
      <c r="AD36" s="91">
        <v>1104.9000000000001</v>
      </c>
      <c r="AE36" s="91">
        <v>390.7</v>
      </c>
      <c r="AF36" s="91">
        <v>350.7</v>
      </c>
      <c r="AG36" s="91">
        <v>286.5</v>
      </c>
      <c r="AH36" s="91">
        <v>500.3</v>
      </c>
      <c r="AI36" s="91">
        <v>337.9</v>
      </c>
      <c r="AJ36" s="91">
        <v>426.8</v>
      </c>
      <c r="AK36" s="91">
        <v>227.6</v>
      </c>
      <c r="AL36" s="91">
        <v>349.6</v>
      </c>
      <c r="AM36" s="91">
        <v>302.89999999999998</v>
      </c>
      <c r="AN36" s="91">
        <v>299.60000000000002</v>
      </c>
      <c r="AO36" s="91">
        <v>225.5</v>
      </c>
    </row>
    <row r="37" spans="1:41" x14ac:dyDescent="0.35">
      <c r="A37" s="210" t="s">
        <v>92</v>
      </c>
      <c r="B37" s="211">
        <v>1322.9</v>
      </c>
      <c r="C37" s="211">
        <v>1093.3</v>
      </c>
      <c r="D37" s="211">
        <v>2246</v>
      </c>
      <c r="E37" s="211">
        <v>1192.3</v>
      </c>
      <c r="F37" s="211">
        <v>2382.1</v>
      </c>
      <c r="G37" s="211">
        <v>710.8</v>
      </c>
      <c r="H37" s="211">
        <v>4017</v>
      </c>
      <c r="I37" s="211">
        <v>543.1</v>
      </c>
      <c r="J37" s="211">
        <v>762.3</v>
      </c>
      <c r="K37" s="211">
        <v>1652.5</v>
      </c>
      <c r="L37" s="211">
        <v>460.1</v>
      </c>
      <c r="M37" s="211">
        <v>344.4</v>
      </c>
      <c r="N37" s="211">
        <v>811.6</v>
      </c>
      <c r="O37" s="211">
        <v>484</v>
      </c>
      <c r="P37" s="210">
        <v>605.6</v>
      </c>
      <c r="Q37" s="210">
        <v>705.3</v>
      </c>
      <c r="R37" s="211">
        <v>1017.4</v>
      </c>
      <c r="S37" s="211">
        <v>439.6</v>
      </c>
      <c r="T37" s="211">
        <v>470</v>
      </c>
      <c r="U37" s="210">
        <v>393.2</v>
      </c>
      <c r="V37" s="210">
        <v>689.2</v>
      </c>
      <c r="W37" s="212">
        <v>598</v>
      </c>
      <c r="X37" s="210">
        <v>752.1</v>
      </c>
      <c r="Y37" s="210">
        <v>612.29999999999995</v>
      </c>
      <c r="Z37" s="210">
        <v>716.2</v>
      </c>
      <c r="AA37" s="213">
        <v>435.4</v>
      </c>
      <c r="AB37" s="213">
        <v>425.7</v>
      </c>
      <c r="AC37" s="213">
        <v>238.7</v>
      </c>
      <c r="AD37" s="213">
        <v>1104.9000000000001</v>
      </c>
      <c r="AE37" s="213">
        <v>390.7</v>
      </c>
      <c r="AF37" s="213">
        <v>350.7</v>
      </c>
      <c r="AG37" s="213">
        <v>286.5</v>
      </c>
      <c r="AH37" s="213">
        <v>500.3</v>
      </c>
      <c r="AI37" s="213">
        <v>337.9</v>
      </c>
      <c r="AJ37" s="213">
        <v>426.8</v>
      </c>
      <c r="AK37" s="213">
        <v>227.6</v>
      </c>
      <c r="AL37" s="213">
        <v>349.6</v>
      </c>
      <c r="AM37" s="213">
        <v>302.89999999999998</v>
      </c>
      <c r="AN37" s="213">
        <v>299.60000000000002</v>
      </c>
      <c r="AO37" s="213">
        <v>225.5</v>
      </c>
    </row>
    <row r="39" spans="1:41" x14ac:dyDescent="0.35"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</row>
    <row r="40" spans="1:41" x14ac:dyDescent="0.35">
      <c r="A40" s="31" t="s">
        <v>93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1:41" x14ac:dyDescent="0.35">
      <c r="A41" s="31" t="s">
        <v>94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</row>
    <row r="42" spans="1:41" x14ac:dyDescent="0.35">
      <c r="A42" s="31" t="s">
        <v>95</v>
      </c>
      <c r="B42" s="31"/>
      <c r="C42" s="31"/>
      <c r="D42" s="31"/>
      <c r="E42" s="31"/>
      <c r="F42" s="31"/>
    </row>
    <row r="43" spans="1:41" x14ac:dyDescent="0.35">
      <c r="A43" s="31" t="s">
        <v>96</v>
      </c>
      <c r="B43" s="31"/>
      <c r="C43" s="31"/>
      <c r="D43" s="31"/>
      <c r="E43" s="31"/>
      <c r="F43" s="31"/>
    </row>
  </sheetData>
  <phoneticPr fontId="45" type="noConversion"/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B1763-AE9F-4AA7-BC9C-9CA370B8A112}">
  <dimension ref="A1:AO16"/>
  <sheetViews>
    <sheetView topLeftCell="A2" workbookViewId="0">
      <selection activeCell="B6" sqref="B6"/>
    </sheetView>
  </sheetViews>
  <sheetFormatPr defaultRowHeight="14.5" x14ac:dyDescent="0.35"/>
  <cols>
    <col min="1" max="1" width="49.54296875" bestFit="1" customWidth="1"/>
    <col min="2" max="37" width="9.54296875" customWidth="1"/>
  </cols>
  <sheetData>
    <row r="1" spans="1:41" x14ac:dyDescent="0.35">
      <c r="A1" s="92" t="s">
        <v>97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</row>
    <row r="2" spans="1:41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</row>
    <row r="3" spans="1:41" s="30" customFormat="1" ht="11.5" x14ac:dyDescent="0.25">
      <c r="A3" s="152" t="s">
        <v>58</v>
      </c>
      <c r="B3" s="217" t="s">
        <v>59</v>
      </c>
      <c r="C3" s="217" t="s">
        <v>59</v>
      </c>
      <c r="D3" s="217" t="s">
        <v>59</v>
      </c>
      <c r="E3" s="217" t="s">
        <v>59</v>
      </c>
      <c r="F3" s="217" t="s">
        <v>2</v>
      </c>
      <c r="G3" s="217" t="s">
        <v>2</v>
      </c>
      <c r="H3" s="217" t="s">
        <v>2</v>
      </c>
      <c r="I3" s="217" t="s">
        <v>2</v>
      </c>
      <c r="J3" s="217" t="s">
        <v>3</v>
      </c>
      <c r="K3" s="217" t="s">
        <v>3</v>
      </c>
      <c r="L3" s="217" t="s">
        <v>3</v>
      </c>
      <c r="M3" s="217" t="s">
        <v>3</v>
      </c>
      <c r="N3" s="217" t="s">
        <v>4</v>
      </c>
      <c r="O3" s="217" t="s">
        <v>4</v>
      </c>
      <c r="P3" s="217" t="s">
        <v>4</v>
      </c>
      <c r="Q3" s="217" t="s">
        <v>4</v>
      </c>
      <c r="R3" s="153" t="s">
        <v>5</v>
      </c>
      <c r="S3" s="153" t="s">
        <v>5</v>
      </c>
      <c r="T3" s="153" t="s">
        <v>5</v>
      </c>
      <c r="U3" s="153" t="s">
        <v>5</v>
      </c>
      <c r="V3" s="153" t="s">
        <v>6</v>
      </c>
      <c r="W3" s="153" t="s">
        <v>6</v>
      </c>
      <c r="X3" s="153" t="s">
        <v>6</v>
      </c>
      <c r="Y3" s="153" t="s">
        <v>6</v>
      </c>
      <c r="Z3" s="153" t="s">
        <v>7</v>
      </c>
      <c r="AA3" s="153" t="s">
        <v>7</v>
      </c>
      <c r="AB3" s="153" t="s">
        <v>7</v>
      </c>
      <c r="AC3" s="153" t="s">
        <v>7</v>
      </c>
      <c r="AD3" s="153" t="s">
        <v>8</v>
      </c>
      <c r="AE3" s="153" t="s">
        <v>8</v>
      </c>
      <c r="AF3" s="153" t="s">
        <v>8</v>
      </c>
      <c r="AG3" s="153" t="s">
        <v>8</v>
      </c>
      <c r="AH3" s="153" t="s">
        <v>9</v>
      </c>
      <c r="AI3" s="153" t="s">
        <v>9</v>
      </c>
      <c r="AJ3" s="153" t="s">
        <v>9</v>
      </c>
      <c r="AK3" s="153" t="s">
        <v>9</v>
      </c>
      <c r="AL3" s="154"/>
      <c r="AM3" s="154"/>
      <c r="AN3" s="154"/>
      <c r="AO3" s="154"/>
    </row>
    <row r="4" spans="1:41" ht="15" thickBot="1" x14ac:dyDescent="0.4">
      <c r="A4" s="94" t="s">
        <v>60</v>
      </c>
      <c r="B4" s="216" t="s">
        <v>65</v>
      </c>
      <c r="C4" s="216" t="s">
        <v>66</v>
      </c>
      <c r="D4" s="216" t="s">
        <v>61</v>
      </c>
      <c r="E4" s="216" t="s">
        <v>62</v>
      </c>
      <c r="F4" s="216" t="s">
        <v>65</v>
      </c>
      <c r="G4" s="216" t="s">
        <v>66</v>
      </c>
      <c r="H4" s="216" t="s">
        <v>61</v>
      </c>
      <c r="I4" s="216" t="s">
        <v>62</v>
      </c>
      <c r="J4" s="216" t="s">
        <v>65</v>
      </c>
      <c r="K4" s="216" t="s">
        <v>66</v>
      </c>
      <c r="L4" s="216" t="s">
        <v>61</v>
      </c>
      <c r="M4" s="216" t="s">
        <v>62</v>
      </c>
      <c r="N4" s="216" t="s">
        <v>65</v>
      </c>
      <c r="O4" s="216" t="s">
        <v>66</v>
      </c>
      <c r="P4" s="216" t="s">
        <v>61</v>
      </c>
      <c r="Q4" s="216" t="s">
        <v>62</v>
      </c>
      <c r="R4" s="80" t="s">
        <v>65</v>
      </c>
      <c r="S4" s="80" t="s">
        <v>66</v>
      </c>
      <c r="T4" s="80" t="s">
        <v>61</v>
      </c>
      <c r="U4" s="80" t="s">
        <v>62</v>
      </c>
      <c r="V4" s="80" t="s">
        <v>65</v>
      </c>
      <c r="W4" s="80" t="s">
        <v>66</v>
      </c>
      <c r="X4" s="80" t="s">
        <v>61</v>
      </c>
      <c r="Y4" s="80" t="s">
        <v>62</v>
      </c>
      <c r="Z4" s="80" t="s">
        <v>65</v>
      </c>
      <c r="AA4" s="80" t="s">
        <v>66</v>
      </c>
      <c r="AB4" s="80" t="s">
        <v>61</v>
      </c>
      <c r="AC4" s="80" t="s">
        <v>62</v>
      </c>
      <c r="AD4" s="80" t="s">
        <v>65</v>
      </c>
      <c r="AE4" s="80" t="s">
        <v>66</v>
      </c>
      <c r="AF4" s="80" t="s">
        <v>61</v>
      </c>
      <c r="AG4" s="80" t="s">
        <v>62</v>
      </c>
      <c r="AH4" s="80" t="s">
        <v>65</v>
      </c>
      <c r="AI4" s="80" t="s">
        <v>66</v>
      </c>
      <c r="AJ4" s="80" t="s">
        <v>61</v>
      </c>
      <c r="AK4" s="80" t="s">
        <v>62</v>
      </c>
      <c r="AL4" s="126"/>
      <c r="AM4" s="126"/>
      <c r="AN4" s="126"/>
      <c r="AO4" s="126"/>
    </row>
    <row r="5" spans="1:41" x14ac:dyDescent="0.35">
      <c r="A5" s="155" t="s">
        <v>98</v>
      </c>
      <c r="B5" s="238">
        <v>254175</v>
      </c>
      <c r="C5" s="238">
        <v>165266</v>
      </c>
      <c r="D5" s="238">
        <v>182930</v>
      </c>
      <c r="E5" s="238">
        <v>139080</v>
      </c>
      <c r="F5" s="238">
        <v>242219</v>
      </c>
      <c r="G5" s="238">
        <v>317980</v>
      </c>
      <c r="H5" s="238">
        <v>117495</v>
      </c>
      <c r="I5" s="238">
        <v>80277</v>
      </c>
      <c r="J5" s="238">
        <v>196195</v>
      </c>
      <c r="K5" s="238">
        <v>121322</v>
      </c>
      <c r="L5" s="238">
        <v>166658</v>
      </c>
      <c r="M5" s="238">
        <v>80732</v>
      </c>
      <c r="N5" s="238">
        <v>239685</v>
      </c>
      <c r="O5" s="182">
        <v>91398</v>
      </c>
      <c r="P5" s="182">
        <v>109006</v>
      </c>
      <c r="Q5" s="182">
        <v>75067</v>
      </c>
      <c r="R5" s="182">
        <v>154670</v>
      </c>
      <c r="S5" s="182">
        <v>60011</v>
      </c>
      <c r="T5" s="182">
        <v>81187</v>
      </c>
      <c r="U5" s="182">
        <v>93924</v>
      </c>
      <c r="V5" s="156">
        <v>180874</v>
      </c>
      <c r="W5" s="156">
        <v>69982</v>
      </c>
      <c r="X5" s="156">
        <v>103210</v>
      </c>
      <c r="Y5" s="156">
        <v>28077</v>
      </c>
      <c r="Z5" s="156">
        <v>155700</v>
      </c>
      <c r="AA5" s="156">
        <v>109756</v>
      </c>
      <c r="AB5" s="156">
        <v>49806</v>
      </c>
      <c r="AC5" s="156">
        <v>12012</v>
      </c>
      <c r="AD5" s="156">
        <v>102824</v>
      </c>
      <c r="AE5" s="156">
        <v>32092</v>
      </c>
      <c r="AF5" s="156">
        <v>53212</v>
      </c>
      <c r="AG5" s="156">
        <v>21171</v>
      </c>
      <c r="AH5" s="156">
        <v>141469</v>
      </c>
      <c r="AI5" s="156">
        <v>14686</v>
      </c>
      <c r="AJ5" s="156">
        <v>33318</v>
      </c>
      <c r="AK5" s="156">
        <v>35881</v>
      </c>
      <c r="AL5" s="121"/>
      <c r="AM5" s="93"/>
    </row>
    <row r="6" spans="1:41" x14ac:dyDescent="0.35">
      <c r="A6" s="157" t="s">
        <v>99</v>
      </c>
      <c r="B6" s="183">
        <v>519651</v>
      </c>
      <c r="C6" s="183">
        <v>418090</v>
      </c>
      <c r="D6" s="183">
        <v>41438</v>
      </c>
      <c r="E6" s="183">
        <v>118138</v>
      </c>
      <c r="F6" s="183">
        <v>222318</v>
      </c>
      <c r="G6" s="183">
        <v>580695</v>
      </c>
      <c r="H6" s="183">
        <v>176068</v>
      </c>
      <c r="I6" s="183">
        <v>-56716</v>
      </c>
      <c r="J6" s="183">
        <v>133717</v>
      </c>
      <c r="K6" s="183">
        <v>233175</v>
      </c>
      <c r="L6" s="183">
        <v>57732</v>
      </c>
      <c r="M6" s="183">
        <v>-98298</v>
      </c>
      <c r="N6" s="183">
        <f>382176</f>
        <v>382176</v>
      </c>
      <c r="O6" s="183">
        <v>83566</v>
      </c>
      <c r="P6" s="183">
        <v>38877</v>
      </c>
      <c r="Q6" s="183">
        <v>-64131</v>
      </c>
      <c r="R6" s="183">
        <v>414420</v>
      </c>
      <c r="S6" s="183">
        <v>153074</v>
      </c>
      <c r="T6" s="183">
        <v>39602</v>
      </c>
      <c r="U6" s="183">
        <v>9826</v>
      </c>
      <c r="V6" s="158">
        <v>113666</v>
      </c>
      <c r="W6" s="158">
        <v>136706</v>
      </c>
      <c r="X6" s="158">
        <v>36347</v>
      </c>
      <c r="Y6" s="158">
        <v>85468</v>
      </c>
      <c r="Z6" s="158">
        <v>81045</v>
      </c>
      <c r="AA6" s="158">
        <v>134074</v>
      </c>
      <c r="AB6" s="158">
        <v>109165</v>
      </c>
      <c r="AC6" s="158">
        <v>-28012</v>
      </c>
      <c r="AD6" s="158">
        <v>72105</v>
      </c>
      <c r="AE6" s="158">
        <v>80020</v>
      </c>
      <c r="AF6" s="158">
        <v>84528</v>
      </c>
      <c r="AG6" s="158">
        <v>15889</v>
      </c>
      <c r="AH6" s="158">
        <v>103529</v>
      </c>
      <c r="AI6" s="158">
        <v>40035</v>
      </c>
      <c r="AJ6" s="158">
        <v>49064</v>
      </c>
      <c r="AK6" s="158">
        <v>25611</v>
      </c>
      <c r="AL6" s="121"/>
    </row>
    <row r="7" spans="1:41" x14ac:dyDescent="0.35">
      <c r="A7" s="159" t="s">
        <v>100</v>
      </c>
      <c r="B7" s="160">
        <v>-72759</v>
      </c>
      <c r="C7" s="160">
        <v>-64419</v>
      </c>
      <c r="D7" s="160">
        <v>-39057</v>
      </c>
      <c r="E7" s="160">
        <v>-31228</v>
      </c>
      <c r="F7" s="160">
        <f>-1588-17498</f>
        <v>-19086</v>
      </c>
      <c r="G7" s="160">
        <f>-41984+17498</f>
        <v>-24486</v>
      </c>
      <c r="H7" s="160">
        <v>-27209</v>
      </c>
      <c r="I7" s="160">
        <v>-43083</v>
      </c>
      <c r="J7" s="160">
        <v>-23481</v>
      </c>
      <c r="K7" s="160">
        <v>-30824</v>
      </c>
      <c r="L7" s="160">
        <v>-37537</v>
      </c>
      <c r="M7" s="160">
        <v>-38900</v>
      </c>
      <c r="N7" s="160">
        <f>-24681</f>
        <v>-24681</v>
      </c>
      <c r="O7" s="160">
        <v>-22772</v>
      </c>
      <c r="P7" s="160">
        <f>-147637+382</f>
        <v>-147255</v>
      </c>
      <c r="Q7" s="160">
        <v>-18080</v>
      </c>
      <c r="R7" s="160">
        <v>-18411</v>
      </c>
      <c r="S7" s="160">
        <v>-20773</v>
      </c>
      <c r="T7" s="160">
        <v>-11458</v>
      </c>
      <c r="U7" s="160">
        <v>-17704</v>
      </c>
      <c r="V7" s="160">
        <v>-20204</v>
      </c>
      <c r="W7" s="160">
        <v>-17640</v>
      </c>
      <c r="X7" s="160">
        <v>-15945</v>
      </c>
      <c r="Y7" s="160">
        <v>-13031</v>
      </c>
      <c r="Z7" s="160">
        <v>-21147</v>
      </c>
      <c r="AA7" s="160">
        <v>-16744</v>
      </c>
      <c r="AB7" s="160">
        <v>-13454</v>
      </c>
      <c r="AC7" s="160">
        <v>-27191</v>
      </c>
      <c r="AD7" s="160">
        <v>-11409</v>
      </c>
      <c r="AE7" s="160">
        <v>-9007</v>
      </c>
      <c r="AF7" s="160">
        <v>-7756</v>
      </c>
      <c r="AG7" s="160">
        <v>-6703</v>
      </c>
      <c r="AH7" s="160">
        <v>-1567</v>
      </c>
      <c r="AI7" s="160">
        <v>-11033</v>
      </c>
      <c r="AJ7" s="160">
        <v>-9149</v>
      </c>
      <c r="AK7" s="160">
        <v>-11952</v>
      </c>
      <c r="AL7" s="121"/>
    </row>
    <row r="8" spans="1:41" x14ac:dyDescent="0.35">
      <c r="A8" s="159" t="s">
        <v>101</v>
      </c>
      <c r="B8" s="160">
        <v>-3654</v>
      </c>
      <c r="C8" s="160">
        <v>-7089</v>
      </c>
      <c r="D8" s="160">
        <v>-411394</v>
      </c>
      <c r="E8" s="160">
        <v>-6292</v>
      </c>
      <c r="F8" s="160">
        <f>-23719+17498</f>
        <v>-6221</v>
      </c>
      <c r="G8" s="160">
        <f>-6210-17498</f>
        <v>-23708</v>
      </c>
      <c r="H8" s="160">
        <v>-217620</v>
      </c>
      <c r="I8" s="160">
        <v>-4336</v>
      </c>
      <c r="J8" s="160">
        <v>0</v>
      </c>
      <c r="K8" s="160">
        <v>-822</v>
      </c>
      <c r="L8" s="160">
        <v>-214595</v>
      </c>
      <c r="M8" s="160">
        <v>-6786</v>
      </c>
      <c r="N8" s="160">
        <v>-8516</v>
      </c>
      <c r="O8" s="160">
        <v>-6201</v>
      </c>
      <c r="P8" s="160">
        <f>-198469-382</f>
        <v>-198851</v>
      </c>
      <c r="Q8" s="160">
        <v>-5721</v>
      </c>
      <c r="R8" s="160">
        <v>-6483</v>
      </c>
      <c r="S8" s="160">
        <v>-179973</v>
      </c>
      <c r="T8" s="160">
        <v>-6293</v>
      </c>
      <c r="U8" s="160">
        <v>-5999</v>
      </c>
      <c r="V8" s="160">
        <v>-4598</v>
      </c>
      <c r="W8" s="160">
        <v>-5916</v>
      </c>
      <c r="X8" s="160">
        <v>-181322</v>
      </c>
      <c r="Y8" s="160">
        <v>-6852</v>
      </c>
      <c r="Z8" s="160">
        <v>-6347</v>
      </c>
      <c r="AA8" s="160">
        <v>-5689</v>
      </c>
      <c r="AB8" s="160">
        <v>-178238</v>
      </c>
      <c r="AC8" s="160">
        <v>-6269</v>
      </c>
      <c r="AD8" s="160">
        <v>0</v>
      </c>
      <c r="AE8" s="160">
        <v>2091</v>
      </c>
      <c r="AF8" s="160">
        <v>-170678</v>
      </c>
      <c r="AG8" s="160">
        <v>-346</v>
      </c>
      <c r="AH8" s="160">
        <v>0</v>
      </c>
      <c r="AI8" s="160">
        <v>-392</v>
      </c>
      <c r="AJ8" s="160">
        <v>-170708</v>
      </c>
      <c r="AK8" s="160">
        <v>-1504</v>
      </c>
      <c r="AL8" s="121"/>
    </row>
    <row r="9" spans="1:41" x14ac:dyDescent="0.35">
      <c r="A9" s="161" t="s">
        <v>102</v>
      </c>
      <c r="B9" s="158">
        <v>443238</v>
      </c>
      <c r="C9" s="158">
        <v>346582</v>
      </c>
      <c r="D9" s="158">
        <v>-409013</v>
      </c>
      <c r="E9" s="158">
        <v>80618</v>
      </c>
      <c r="F9" s="158">
        <v>197011</v>
      </c>
      <c r="G9" s="158">
        <v>532501</v>
      </c>
      <c r="H9" s="158">
        <v>-68761</v>
      </c>
      <c r="I9" s="158">
        <v>-104135</v>
      </c>
      <c r="J9" s="158">
        <v>110236</v>
      </c>
      <c r="K9" s="158">
        <v>201529</v>
      </c>
      <c r="L9" s="158">
        <v>-194400</v>
      </c>
      <c r="M9" s="158">
        <v>-143985</v>
      </c>
      <c r="N9" s="158">
        <v>348980</v>
      </c>
      <c r="O9" s="158">
        <f t="shared" ref="O9" si="0">SUM(O6:O8)</f>
        <v>54593</v>
      </c>
      <c r="P9" s="158">
        <f>SUM(P6:P8)</f>
        <v>-307229</v>
      </c>
      <c r="Q9" s="158">
        <v>-87932</v>
      </c>
      <c r="R9" s="158">
        <v>389526</v>
      </c>
      <c r="S9" s="158">
        <v>-47672</v>
      </c>
      <c r="T9" s="158">
        <v>21851</v>
      </c>
      <c r="U9" s="158">
        <v>-13877</v>
      </c>
      <c r="V9" s="158">
        <f t="shared" ref="V9" si="1">SUM(V6:V8)</f>
        <v>88864</v>
      </c>
      <c r="W9" s="158">
        <f t="shared" ref="W9:X9" si="2">SUM(W6:W8)</f>
        <v>113150</v>
      </c>
      <c r="X9" s="158">
        <f t="shared" si="2"/>
        <v>-160920</v>
      </c>
      <c r="Y9" s="158">
        <f>SUM(Y6:Y8)</f>
        <v>65585</v>
      </c>
      <c r="Z9" s="158">
        <v>53551</v>
      </c>
      <c r="AA9" s="158">
        <f>SUM(AA6:AA8)</f>
        <v>111641</v>
      </c>
      <c r="AB9" s="158">
        <f>SUM(AB6:AB8)</f>
        <v>-82527</v>
      </c>
      <c r="AC9" s="158">
        <f>SUM(AC6:AC8)</f>
        <v>-61472</v>
      </c>
      <c r="AD9" s="158">
        <f>SUM(AD6:AD8)</f>
        <v>60696</v>
      </c>
      <c r="AE9" s="158">
        <f>SUM(AE6:AE8)</f>
        <v>73104</v>
      </c>
      <c r="AF9" s="158">
        <f t="shared" ref="AF9:AK9" si="3">SUM(AF6:AF8)</f>
        <v>-93906</v>
      </c>
      <c r="AG9" s="158">
        <f t="shared" si="3"/>
        <v>8840</v>
      </c>
      <c r="AH9" s="158">
        <f t="shared" si="3"/>
        <v>101962</v>
      </c>
      <c r="AI9" s="158">
        <f t="shared" si="3"/>
        <v>28610</v>
      </c>
      <c r="AJ9" s="158">
        <f t="shared" si="3"/>
        <v>-130793</v>
      </c>
      <c r="AK9" s="158">
        <f t="shared" si="3"/>
        <v>12155</v>
      </c>
      <c r="AL9" s="121"/>
    </row>
    <row r="10" spans="1:41" x14ac:dyDescent="0.3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</row>
    <row r="11" spans="1:41" x14ac:dyDescent="0.35">
      <c r="A11" s="163" t="s">
        <v>103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84"/>
      <c r="U11" s="184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</row>
    <row r="12" spans="1:41" x14ac:dyDescent="0.35">
      <c r="A12" s="164" t="s">
        <v>104</v>
      </c>
      <c r="B12" s="156">
        <v>1353148</v>
      </c>
      <c r="C12" s="156">
        <v>1016471</v>
      </c>
      <c r="D12" s="156">
        <v>1426469</v>
      </c>
      <c r="E12" s="156">
        <v>1341871</v>
      </c>
      <c r="F12" s="156">
        <v>1160699</v>
      </c>
      <c r="G12" s="156">
        <v>625776</v>
      </c>
      <c r="H12" s="156">
        <v>699356</v>
      </c>
      <c r="I12" s="156">
        <v>804640</v>
      </c>
      <c r="J12" s="156">
        <v>688775</v>
      </c>
      <c r="K12" s="156">
        <v>498471</v>
      </c>
      <c r="L12" s="156">
        <v>688210</v>
      </c>
      <c r="M12" s="156">
        <v>825242</v>
      </c>
      <c r="N12" s="156">
        <v>482502</v>
      </c>
      <c r="O12" s="156">
        <v>423557</v>
      </c>
      <c r="P12" s="156">
        <v>724353</v>
      </c>
      <c r="Q12" s="156">
        <v>808776</v>
      </c>
      <c r="R12" s="156">
        <v>423585</v>
      </c>
      <c r="S12" s="156">
        <v>462266</v>
      </c>
      <c r="T12" s="156">
        <v>439165</v>
      </c>
      <c r="U12" s="156">
        <v>454854</v>
      </c>
      <c r="V12" s="156">
        <v>364492</v>
      </c>
      <c r="W12" s="156">
        <v>248554</v>
      </c>
      <c r="X12" s="156">
        <v>405782</v>
      </c>
      <c r="Y12" s="156">
        <v>345300</v>
      </c>
      <c r="Z12" s="156">
        <v>304085</v>
      </c>
      <c r="AA12" s="156">
        <v>189441</v>
      </c>
      <c r="AB12" s="156">
        <v>271191</v>
      </c>
      <c r="AC12" s="156">
        <v>331935</v>
      </c>
      <c r="AD12" s="156">
        <v>265921</v>
      </c>
      <c r="AE12" s="156">
        <v>190612</v>
      </c>
      <c r="AF12" s="156">
        <v>291974</v>
      </c>
      <c r="AG12" s="156">
        <v>282341</v>
      </c>
      <c r="AH12" s="156">
        <v>195779</v>
      </c>
      <c r="AI12" s="156">
        <v>150040</v>
      </c>
      <c r="AJ12" s="156">
        <v>277997</v>
      </c>
      <c r="AK12" s="156">
        <v>273216</v>
      </c>
    </row>
    <row r="13" spans="1:41" x14ac:dyDescent="0.35">
      <c r="A13" s="159" t="s">
        <v>105</v>
      </c>
      <c r="B13" s="160">
        <v>13924</v>
      </c>
      <c r="C13" s="160">
        <v>-9906</v>
      </c>
      <c r="D13" s="160">
        <v>-984</v>
      </c>
      <c r="E13" s="160">
        <v>3980</v>
      </c>
      <c r="F13" s="160">
        <v>-15839</v>
      </c>
      <c r="G13" s="160">
        <v>2422</v>
      </c>
      <c r="H13" s="160">
        <v>-4819</v>
      </c>
      <c r="I13" s="160">
        <v>-1150</v>
      </c>
      <c r="J13" s="160">
        <v>5628</v>
      </c>
      <c r="K13" s="160">
        <v>-11225</v>
      </c>
      <c r="L13" s="160">
        <v>4661</v>
      </c>
      <c r="M13" s="160">
        <v>6953</v>
      </c>
      <c r="N13" s="160">
        <v>-6240</v>
      </c>
      <c r="O13" s="160">
        <v>4352</v>
      </c>
      <c r="P13" s="160">
        <v>6433</v>
      </c>
      <c r="Q13" s="160">
        <v>3510</v>
      </c>
      <c r="R13" s="160">
        <v>-4335</v>
      </c>
      <c r="S13" s="160">
        <v>8991</v>
      </c>
      <c r="T13" s="160">
        <v>1251</v>
      </c>
      <c r="U13" s="160">
        <v>-1813</v>
      </c>
      <c r="V13" s="160">
        <v>1498</v>
      </c>
      <c r="W13" s="160">
        <v>2788</v>
      </c>
      <c r="X13" s="160">
        <v>3692</v>
      </c>
      <c r="Y13" s="160">
        <v>-5103</v>
      </c>
      <c r="Z13" s="160">
        <v>-12336</v>
      </c>
      <c r="AA13" s="160">
        <v>3003</v>
      </c>
      <c r="AB13" s="160">
        <v>777</v>
      </c>
      <c r="AC13" s="160">
        <v>728</v>
      </c>
      <c r="AD13" s="160">
        <v>5318</v>
      </c>
      <c r="AE13" s="160">
        <v>2206</v>
      </c>
      <c r="AF13" s="160">
        <v>-7456</v>
      </c>
      <c r="AG13" s="160">
        <v>793</v>
      </c>
      <c r="AH13" s="160">
        <v>-15400</v>
      </c>
      <c r="AI13" s="160">
        <v>17129</v>
      </c>
      <c r="AJ13" s="160">
        <v>2836</v>
      </c>
      <c r="AK13" s="160">
        <v>-7375</v>
      </c>
    </row>
    <row r="14" spans="1:41" x14ac:dyDescent="0.35">
      <c r="A14" s="166" t="s">
        <v>106</v>
      </c>
      <c r="B14" s="167">
        <f t="shared" ref="B14" si="4">SUM(B9:B13)</f>
        <v>1810310</v>
      </c>
      <c r="C14" s="167">
        <f>SUM(C9:C13)</f>
        <v>1353147</v>
      </c>
      <c r="D14" s="167">
        <f>SUM(D9:D13)-1</f>
        <v>1016471</v>
      </c>
      <c r="E14" s="167">
        <f>SUM(E9:E13)</f>
        <v>1426469</v>
      </c>
      <c r="F14" s="167">
        <f t="shared" ref="F14:H14" si="5">SUM(F9:F13)</f>
        <v>1341871</v>
      </c>
      <c r="G14" s="167">
        <f t="shared" si="5"/>
        <v>1160699</v>
      </c>
      <c r="H14" s="167">
        <f t="shared" si="5"/>
        <v>625776</v>
      </c>
      <c r="I14" s="167">
        <f>SUM(I9:I13)</f>
        <v>699355</v>
      </c>
      <c r="J14" s="167">
        <f>SUM(J9:J13)+1</f>
        <v>804640</v>
      </c>
      <c r="K14" s="167">
        <f>SUM(K9:K13)</f>
        <v>688775</v>
      </c>
      <c r="L14" s="167">
        <f>SUM(L9:L13)</f>
        <v>498471</v>
      </c>
      <c r="M14" s="167">
        <f t="shared" ref="M14:O14" si="6">SUM(M9:M13)</f>
        <v>688210</v>
      </c>
      <c r="N14" s="167">
        <f t="shared" si="6"/>
        <v>825242</v>
      </c>
      <c r="O14" s="167">
        <f t="shared" si="6"/>
        <v>482502</v>
      </c>
      <c r="P14" s="167">
        <f>SUM(P9:P13)</f>
        <v>423557</v>
      </c>
      <c r="Q14" s="167">
        <v>724353</v>
      </c>
      <c r="R14" s="167">
        <v>808776</v>
      </c>
      <c r="S14" s="167">
        <v>423585</v>
      </c>
      <c r="T14" s="167">
        <v>462266</v>
      </c>
      <c r="U14" s="167">
        <v>439165</v>
      </c>
      <c r="V14" s="167">
        <f>V9+V12+V13</f>
        <v>454854</v>
      </c>
      <c r="W14" s="167">
        <f>W9+W12+W13</f>
        <v>364492</v>
      </c>
      <c r="X14" s="167">
        <f t="shared" ref="X14" si="7">X9+X12+X13</f>
        <v>248554</v>
      </c>
      <c r="Y14" s="167">
        <f>Y9+Y12+Y13</f>
        <v>405782</v>
      </c>
      <c r="Z14" s="167">
        <f t="shared" ref="Z14:AA14" si="8">SUM(Z9:Z13)</f>
        <v>345300</v>
      </c>
      <c r="AA14" s="167">
        <f t="shared" si="8"/>
        <v>304085</v>
      </c>
      <c r="AB14" s="167">
        <f t="shared" ref="AB14:AG14" si="9">SUM(AB9:AB13)</f>
        <v>189441</v>
      </c>
      <c r="AC14" s="167">
        <f t="shared" si="9"/>
        <v>271191</v>
      </c>
      <c r="AD14" s="167">
        <f t="shared" si="9"/>
        <v>331935</v>
      </c>
      <c r="AE14" s="167">
        <f t="shared" si="9"/>
        <v>265922</v>
      </c>
      <c r="AF14" s="167">
        <f t="shared" si="9"/>
        <v>190612</v>
      </c>
      <c r="AG14" s="167">
        <f t="shared" si="9"/>
        <v>291974</v>
      </c>
      <c r="AH14" s="167">
        <f t="shared" ref="AH14:AK14" si="10">SUM(AH9:AH13)</f>
        <v>282341</v>
      </c>
      <c r="AI14" s="167">
        <f t="shared" si="10"/>
        <v>195779</v>
      </c>
      <c r="AJ14" s="167">
        <f t="shared" si="10"/>
        <v>150040</v>
      </c>
      <c r="AK14" s="167">
        <f t="shared" si="10"/>
        <v>277996</v>
      </c>
      <c r="AL14" s="121"/>
    </row>
    <row r="16" spans="1:41" x14ac:dyDescent="0.35">
      <c r="AD16" s="93"/>
      <c r="AE16" s="93"/>
      <c r="AF16" s="93"/>
      <c r="AG16" s="93"/>
      <c r="AH16" s="93"/>
      <c r="AI16" s="93"/>
      <c r="AJ16" s="93"/>
      <c r="AK16" s="93"/>
    </row>
  </sheetData>
  <phoneticPr fontId="45" type="noConversion"/>
  <pageMargins left="0.7" right="0.7" top="0.75" bottom="0.75" header="0.3" footer="0.3"/>
  <pageSetup paperSize="9" orientation="landscape" r:id="rId1"/>
  <ignoredErrors>
    <ignoredError sqref="X9 O9:P9 M14:N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B6A5-8099-44E1-B6A0-43BFB4CE6089}">
  <dimension ref="A1:EFI44"/>
  <sheetViews>
    <sheetView zoomScaleNormal="100" workbookViewId="0">
      <selection activeCell="C1" sqref="C1"/>
    </sheetView>
  </sheetViews>
  <sheetFormatPr defaultRowHeight="14.5" x14ac:dyDescent="0.35"/>
  <cols>
    <col min="1" max="1" width="31.453125" customWidth="1"/>
    <col min="2" max="41" width="9.54296875" customWidth="1"/>
  </cols>
  <sheetData>
    <row r="1" spans="1:42" x14ac:dyDescent="0.35">
      <c r="A1" s="77" t="s">
        <v>107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</row>
    <row r="2" spans="1:42" x14ac:dyDescent="0.3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</row>
    <row r="3" spans="1:42" s="30" customFormat="1" ht="11.5" x14ac:dyDescent="0.25">
      <c r="A3" s="150" t="s">
        <v>108</v>
      </c>
      <c r="B3" s="151" t="s">
        <v>59</v>
      </c>
      <c r="C3" s="151" t="s">
        <v>59</v>
      </c>
      <c r="D3" s="151" t="s">
        <v>59</v>
      </c>
      <c r="E3" s="151" t="s">
        <v>59</v>
      </c>
      <c r="F3" s="151" t="s">
        <v>2</v>
      </c>
      <c r="G3" s="151" t="s">
        <v>2</v>
      </c>
      <c r="H3" s="151" t="s">
        <v>2</v>
      </c>
      <c r="I3" s="151" t="s">
        <v>2</v>
      </c>
      <c r="J3" s="151" t="s">
        <v>3</v>
      </c>
      <c r="K3" s="151" t="s">
        <v>3</v>
      </c>
      <c r="L3" s="151" t="s">
        <v>3</v>
      </c>
      <c r="M3" s="151" t="s">
        <v>3</v>
      </c>
      <c r="N3" s="151" t="s">
        <v>4</v>
      </c>
      <c r="O3" s="151" t="s">
        <v>4</v>
      </c>
      <c r="P3" s="151" t="s">
        <v>4</v>
      </c>
      <c r="Q3" s="151" t="s">
        <v>4</v>
      </c>
      <c r="R3" s="151" t="s">
        <v>5</v>
      </c>
      <c r="S3" s="151" t="s">
        <v>5</v>
      </c>
      <c r="T3" s="151" t="s">
        <v>5</v>
      </c>
      <c r="U3" s="151" t="s">
        <v>5</v>
      </c>
      <c r="V3" s="151" t="s">
        <v>6</v>
      </c>
      <c r="W3" s="151" t="s">
        <v>6</v>
      </c>
      <c r="X3" s="151" t="s">
        <v>6</v>
      </c>
      <c r="Y3" s="151" t="s">
        <v>6</v>
      </c>
      <c r="Z3" s="151" t="s">
        <v>7</v>
      </c>
      <c r="AA3" s="151" t="s">
        <v>7</v>
      </c>
      <c r="AB3" s="151" t="s">
        <v>7</v>
      </c>
      <c r="AC3" s="151" t="s">
        <v>7</v>
      </c>
      <c r="AD3" s="151" t="s">
        <v>8</v>
      </c>
      <c r="AE3" s="151" t="s">
        <v>8</v>
      </c>
      <c r="AF3" s="151" t="s">
        <v>8</v>
      </c>
      <c r="AG3" s="151" t="s">
        <v>8</v>
      </c>
      <c r="AH3" s="151" t="s">
        <v>9</v>
      </c>
      <c r="AI3" s="151" t="s">
        <v>9</v>
      </c>
      <c r="AJ3" s="151" t="s">
        <v>9</v>
      </c>
      <c r="AK3" s="151" t="s">
        <v>9</v>
      </c>
      <c r="AL3" s="151" t="s">
        <v>10</v>
      </c>
      <c r="AM3" s="151" t="s">
        <v>10</v>
      </c>
      <c r="AN3" s="151" t="s">
        <v>10</v>
      </c>
      <c r="AO3" s="151" t="s">
        <v>10</v>
      </c>
    </row>
    <row r="4" spans="1:42" s="30" customFormat="1" ht="6" customHeight="1" x14ac:dyDescent="0.2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</row>
    <row r="5" spans="1:42" ht="15" thickBot="1" x14ac:dyDescent="0.4">
      <c r="A5" s="79" t="s">
        <v>109</v>
      </c>
      <c r="B5" s="80" t="s">
        <v>65</v>
      </c>
      <c r="C5" s="80" t="s">
        <v>66</v>
      </c>
      <c r="D5" s="80" t="s">
        <v>61</v>
      </c>
      <c r="E5" s="80" t="s">
        <v>62</v>
      </c>
      <c r="F5" s="80" t="s">
        <v>65</v>
      </c>
      <c r="G5" s="80" t="s">
        <v>66</v>
      </c>
      <c r="H5" s="80" t="s">
        <v>61</v>
      </c>
      <c r="I5" s="80" t="s">
        <v>62</v>
      </c>
      <c r="J5" s="80" t="s">
        <v>65</v>
      </c>
      <c r="K5" s="80" t="s">
        <v>66</v>
      </c>
      <c r="L5" s="80" t="s">
        <v>61</v>
      </c>
      <c r="M5" s="80" t="s">
        <v>62</v>
      </c>
      <c r="N5" s="80" t="s">
        <v>65</v>
      </c>
      <c r="O5" s="80" t="s">
        <v>66</v>
      </c>
      <c r="P5" s="80" t="s">
        <v>61</v>
      </c>
      <c r="Q5" s="80" t="s">
        <v>62</v>
      </c>
      <c r="R5" s="80" t="s">
        <v>65</v>
      </c>
      <c r="S5" s="80" t="s">
        <v>66</v>
      </c>
      <c r="T5" s="80" t="s">
        <v>61</v>
      </c>
      <c r="U5" s="80" t="s">
        <v>62</v>
      </c>
      <c r="V5" s="80" t="s">
        <v>65</v>
      </c>
      <c r="W5" s="80" t="s">
        <v>66</v>
      </c>
      <c r="X5" s="80" t="s">
        <v>61</v>
      </c>
      <c r="Y5" s="80" t="s">
        <v>62</v>
      </c>
      <c r="Z5" s="80" t="s">
        <v>65</v>
      </c>
      <c r="AA5" s="80" t="s">
        <v>66</v>
      </c>
      <c r="AB5" s="80" t="s">
        <v>61</v>
      </c>
      <c r="AC5" s="80" t="s">
        <v>62</v>
      </c>
      <c r="AD5" s="80" t="s">
        <v>65</v>
      </c>
      <c r="AE5" s="80" t="s">
        <v>66</v>
      </c>
      <c r="AF5" s="80" t="s">
        <v>61</v>
      </c>
      <c r="AG5" s="80" t="s">
        <v>62</v>
      </c>
      <c r="AH5" s="80" t="s">
        <v>65</v>
      </c>
      <c r="AI5" s="80" t="s">
        <v>66</v>
      </c>
      <c r="AJ5" s="80" t="s">
        <v>61</v>
      </c>
      <c r="AK5" s="80" t="s">
        <v>62</v>
      </c>
      <c r="AL5" s="80" t="s">
        <v>65</v>
      </c>
      <c r="AM5" s="80" t="s">
        <v>66</v>
      </c>
      <c r="AN5" s="80" t="s">
        <v>61</v>
      </c>
      <c r="AO5" s="80" t="s">
        <v>62</v>
      </c>
    </row>
    <row r="6" spans="1:42" x14ac:dyDescent="0.35">
      <c r="A6" s="81" t="s">
        <v>110</v>
      </c>
      <c r="B6" s="185">
        <v>868.3</v>
      </c>
      <c r="C6" s="185">
        <v>768.3</v>
      </c>
      <c r="D6" s="185">
        <v>755.8</v>
      </c>
      <c r="E6" s="185">
        <v>665</v>
      </c>
      <c r="F6" s="185">
        <v>813.1</v>
      </c>
      <c r="G6" s="185">
        <v>719.3</v>
      </c>
      <c r="H6" s="185">
        <v>625.70000000000005</v>
      </c>
      <c r="I6" s="185">
        <v>639.9</v>
      </c>
      <c r="J6" s="185">
        <v>740.7</v>
      </c>
      <c r="K6" s="185">
        <v>601.29999999999995</v>
      </c>
      <c r="L6" s="185">
        <v>691</v>
      </c>
      <c r="M6" s="81">
        <v>518.6</v>
      </c>
      <c r="N6" s="81">
        <v>635.5</v>
      </c>
      <c r="O6" s="81">
        <v>504.9</v>
      </c>
      <c r="P6" s="81">
        <v>502.7</v>
      </c>
      <c r="Q6" s="81">
        <v>435.8</v>
      </c>
      <c r="R6" s="81">
        <v>570.70000000000005</v>
      </c>
      <c r="S6" s="81">
        <v>418.9</v>
      </c>
      <c r="T6" s="81">
        <v>374.9</v>
      </c>
      <c r="U6" s="81">
        <v>362.6</v>
      </c>
      <c r="V6" s="81">
        <v>460.1</v>
      </c>
      <c r="W6" s="81">
        <v>338.4</v>
      </c>
      <c r="X6" s="81">
        <v>338.6</v>
      </c>
      <c r="Y6" s="81">
        <v>260.60000000000002</v>
      </c>
      <c r="Z6" s="81">
        <v>445.9</v>
      </c>
      <c r="AA6" s="82">
        <v>396.1</v>
      </c>
      <c r="AB6" s="82">
        <v>297.7</v>
      </c>
      <c r="AC6" s="82">
        <v>288.39999999999998</v>
      </c>
      <c r="AD6" s="82">
        <v>413.8</v>
      </c>
      <c r="AE6" s="82">
        <v>272.39999999999998</v>
      </c>
      <c r="AF6" s="82">
        <v>264.7</v>
      </c>
      <c r="AG6" s="82">
        <v>253.4</v>
      </c>
      <c r="AH6" s="82">
        <v>312.7</v>
      </c>
      <c r="AI6" s="82">
        <v>234.9</v>
      </c>
      <c r="AJ6" s="82">
        <v>250.9</v>
      </c>
      <c r="AK6" s="82">
        <v>233.8</v>
      </c>
      <c r="AL6" s="82">
        <v>285.8</v>
      </c>
      <c r="AM6" s="82">
        <v>237</v>
      </c>
      <c r="AN6" s="82">
        <v>236.9</v>
      </c>
      <c r="AO6" s="82">
        <v>210.8</v>
      </c>
    </row>
    <row r="7" spans="1:42" ht="15" customHeight="1" x14ac:dyDescent="0.35">
      <c r="A7" s="81" t="s">
        <v>13</v>
      </c>
      <c r="B7" s="185">
        <v>642.5</v>
      </c>
      <c r="C7" s="185">
        <v>593.4</v>
      </c>
      <c r="D7" s="185">
        <v>550.70000000000005</v>
      </c>
      <c r="E7" s="185">
        <v>513.29999999999995</v>
      </c>
      <c r="F7" s="185">
        <v>538</v>
      </c>
      <c r="G7" s="81">
        <v>490.3</v>
      </c>
      <c r="H7" s="81">
        <v>447.5</v>
      </c>
      <c r="I7" s="81">
        <v>448.9</v>
      </c>
      <c r="J7" s="81">
        <v>432.8</v>
      </c>
      <c r="K7" s="81">
        <v>405.1</v>
      </c>
      <c r="L7" s="81">
        <v>400.8</v>
      </c>
      <c r="M7" s="81">
        <v>370.7</v>
      </c>
      <c r="N7" s="185">
        <v>348.4</v>
      </c>
      <c r="O7" s="185">
        <v>328.7</v>
      </c>
      <c r="P7" s="185">
        <v>292.89999999999998</v>
      </c>
      <c r="Q7" s="185">
        <v>288.10000000000002</v>
      </c>
      <c r="R7" s="185">
        <v>257</v>
      </c>
      <c r="S7" s="185">
        <v>254.3</v>
      </c>
      <c r="T7" s="185">
        <v>250.3</v>
      </c>
      <c r="U7" s="185">
        <v>232.8</v>
      </c>
      <c r="V7" s="229" t="s">
        <v>14</v>
      </c>
      <c r="W7" s="229" t="s">
        <v>14</v>
      </c>
      <c r="X7" s="229" t="s">
        <v>14</v>
      </c>
      <c r="Y7" s="229" t="s">
        <v>14</v>
      </c>
      <c r="Z7" s="229" t="s">
        <v>14</v>
      </c>
      <c r="AA7" s="229" t="s">
        <v>14</v>
      </c>
      <c r="AB7" s="229" t="s">
        <v>14</v>
      </c>
      <c r="AC7" s="229" t="s">
        <v>14</v>
      </c>
      <c r="AD7" s="229" t="s">
        <v>14</v>
      </c>
      <c r="AE7" s="229" t="s">
        <v>14</v>
      </c>
      <c r="AF7" s="229" t="s">
        <v>14</v>
      </c>
      <c r="AG7" s="229" t="s">
        <v>14</v>
      </c>
      <c r="AH7" s="229" t="s">
        <v>14</v>
      </c>
      <c r="AI7" s="229" t="s">
        <v>14</v>
      </c>
      <c r="AJ7" s="229" t="s">
        <v>14</v>
      </c>
      <c r="AK7" s="229" t="s">
        <v>14</v>
      </c>
      <c r="AL7" s="229" t="s">
        <v>14</v>
      </c>
      <c r="AM7" s="229" t="s">
        <v>14</v>
      </c>
      <c r="AN7" s="229" t="s">
        <v>14</v>
      </c>
      <c r="AO7" s="229" t="s">
        <v>14</v>
      </c>
      <c r="AP7" s="219"/>
    </row>
    <row r="8" spans="1:42" x14ac:dyDescent="0.35">
      <c r="A8" s="86" t="s">
        <v>15</v>
      </c>
      <c r="B8" s="86">
        <v>269.3</v>
      </c>
      <c r="C8" s="86">
        <v>244.3</v>
      </c>
      <c r="D8" s="86">
        <v>206.8</v>
      </c>
      <c r="E8" s="86">
        <v>174.7</v>
      </c>
      <c r="F8" s="86">
        <v>179.2</v>
      </c>
      <c r="G8" s="86">
        <v>158.1</v>
      </c>
      <c r="H8" s="86">
        <v>116.5</v>
      </c>
      <c r="I8" s="86">
        <v>117.6</v>
      </c>
      <c r="J8" s="86">
        <v>108.2</v>
      </c>
      <c r="K8" s="86">
        <v>97.9</v>
      </c>
      <c r="L8" s="86">
        <v>89.2</v>
      </c>
      <c r="M8" s="186">
        <v>83</v>
      </c>
      <c r="N8" s="186">
        <v>68.900000000000006</v>
      </c>
      <c r="O8" s="186">
        <v>68.7</v>
      </c>
      <c r="P8" s="186">
        <v>56.4</v>
      </c>
      <c r="Q8" s="186">
        <v>47.2</v>
      </c>
      <c r="R8" s="186">
        <v>47.7</v>
      </c>
      <c r="S8" s="186">
        <v>43.1</v>
      </c>
      <c r="T8" s="186">
        <v>40.9</v>
      </c>
      <c r="U8" s="186">
        <v>40.200000000000003</v>
      </c>
      <c r="V8" s="230" t="s">
        <v>14</v>
      </c>
      <c r="W8" s="230" t="s">
        <v>14</v>
      </c>
      <c r="X8" s="230" t="s">
        <v>14</v>
      </c>
      <c r="Y8" s="230" t="s">
        <v>14</v>
      </c>
      <c r="Z8" s="230" t="s">
        <v>14</v>
      </c>
      <c r="AA8" s="230" t="s">
        <v>14</v>
      </c>
      <c r="AB8" s="230" t="s">
        <v>14</v>
      </c>
      <c r="AC8" s="230" t="s">
        <v>14</v>
      </c>
      <c r="AD8" s="230" t="s">
        <v>14</v>
      </c>
      <c r="AE8" s="230" t="s">
        <v>14</v>
      </c>
      <c r="AF8" s="230" t="s">
        <v>14</v>
      </c>
      <c r="AG8" s="230" t="s">
        <v>14</v>
      </c>
      <c r="AH8" s="230" t="s">
        <v>14</v>
      </c>
      <c r="AI8" s="230" t="s">
        <v>14</v>
      </c>
      <c r="AJ8" s="230" t="s">
        <v>14</v>
      </c>
      <c r="AK8" s="230" t="s">
        <v>14</v>
      </c>
      <c r="AL8" s="230" t="s">
        <v>14</v>
      </c>
      <c r="AM8" s="230" t="s">
        <v>14</v>
      </c>
      <c r="AN8" s="230" t="s">
        <v>14</v>
      </c>
      <c r="AO8" s="230" t="s">
        <v>14</v>
      </c>
    </row>
    <row r="9" spans="1:42" x14ac:dyDescent="0.35">
      <c r="A9" s="83" t="s">
        <v>75</v>
      </c>
      <c r="B9" s="83">
        <v>234.6</v>
      </c>
      <c r="C9" s="83">
        <v>179.1</v>
      </c>
      <c r="D9" s="83">
        <v>179.4</v>
      </c>
      <c r="E9" s="83">
        <v>113.7</v>
      </c>
      <c r="F9" s="173">
        <v>196</v>
      </c>
      <c r="G9" s="83">
        <v>181.2</v>
      </c>
      <c r="H9" s="83">
        <v>95.3</v>
      </c>
      <c r="I9" s="173">
        <v>95</v>
      </c>
      <c r="J9" s="83">
        <v>190.5</v>
      </c>
      <c r="K9" s="83">
        <v>66.8</v>
      </c>
      <c r="L9" s="83">
        <v>168.3</v>
      </c>
      <c r="M9" s="83">
        <v>74.3</v>
      </c>
      <c r="N9" s="173">
        <v>182.8</v>
      </c>
      <c r="O9" s="173">
        <v>89</v>
      </c>
      <c r="P9" s="83">
        <v>110.1</v>
      </c>
      <c r="Q9" s="83">
        <v>80.400000000000006</v>
      </c>
      <c r="R9" s="83">
        <v>146.19999999999999</v>
      </c>
      <c r="S9" s="83">
        <v>80.099999999999994</v>
      </c>
      <c r="T9" s="83">
        <v>91.9</v>
      </c>
      <c r="U9" s="83">
        <v>97.8</v>
      </c>
      <c r="V9" s="83">
        <v>177.5</v>
      </c>
      <c r="W9" s="83">
        <v>72.400000000000006</v>
      </c>
      <c r="X9" s="83">
        <v>92.4</v>
      </c>
      <c r="Y9" s="83">
        <v>35.700000000000003</v>
      </c>
      <c r="Z9" s="83">
        <v>131.6</v>
      </c>
      <c r="AA9" s="84">
        <v>103</v>
      </c>
      <c r="AB9" s="84">
        <v>41.6</v>
      </c>
      <c r="AC9" s="84">
        <v>41.3</v>
      </c>
      <c r="AD9" s="84">
        <v>106.8</v>
      </c>
      <c r="AE9" s="84">
        <v>49.6</v>
      </c>
      <c r="AF9" s="84">
        <v>52.2</v>
      </c>
      <c r="AG9" s="84">
        <v>48.4</v>
      </c>
      <c r="AH9" s="84">
        <v>92.8</v>
      </c>
      <c r="AI9" s="84">
        <v>39.4</v>
      </c>
      <c r="AJ9" s="84">
        <v>48</v>
      </c>
      <c r="AK9" s="84">
        <v>39</v>
      </c>
      <c r="AL9" s="84">
        <v>92.7</v>
      </c>
      <c r="AM9" s="84">
        <v>41.3</v>
      </c>
      <c r="AN9" s="84">
        <v>53.9</v>
      </c>
      <c r="AO9" s="84">
        <v>22.7</v>
      </c>
    </row>
    <row r="10" spans="1:42" x14ac:dyDescent="0.35">
      <c r="A10" s="81" t="s">
        <v>28</v>
      </c>
      <c r="B10" s="85">
        <f t="shared" ref="B10:C10" si="0">B9/B6</f>
        <v>0.27018311643441206</v>
      </c>
      <c r="C10" s="85">
        <f t="shared" si="0"/>
        <v>0.23311206559937525</v>
      </c>
      <c r="D10" s="85">
        <f>D9/D6</f>
        <v>0.23736438211166977</v>
      </c>
      <c r="E10" s="85">
        <f t="shared" ref="E10:O10" si="1">E9/E6</f>
        <v>0.17097744360902256</v>
      </c>
      <c r="F10" s="85">
        <f t="shared" si="1"/>
        <v>0.24105276103800269</v>
      </c>
      <c r="G10" s="85">
        <f t="shared" si="1"/>
        <v>0.2519115807034617</v>
      </c>
      <c r="H10" s="85">
        <f t="shared" si="1"/>
        <v>0.15230941345692822</v>
      </c>
      <c r="I10" s="85">
        <f t="shared" si="1"/>
        <v>0.14846069698390374</v>
      </c>
      <c r="J10" s="85">
        <f t="shared" si="1"/>
        <v>0.25718914540299714</v>
      </c>
      <c r="K10" s="85">
        <f t="shared" si="1"/>
        <v>0.11109263262930318</v>
      </c>
      <c r="L10" s="85">
        <f t="shared" si="1"/>
        <v>0.24356005788712012</v>
      </c>
      <c r="M10" s="85">
        <f t="shared" si="1"/>
        <v>0.14327034323177784</v>
      </c>
      <c r="N10" s="85">
        <f t="shared" si="1"/>
        <v>0.2876475216365067</v>
      </c>
      <c r="O10" s="85">
        <f t="shared" si="1"/>
        <v>0.1762725292137057</v>
      </c>
      <c r="P10" s="85">
        <f>P9/P6</f>
        <v>0.21901730654465884</v>
      </c>
      <c r="Q10" s="85">
        <f t="shared" ref="Q10:W10" si="2">Q9/Q6</f>
        <v>0.18448829738412117</v>
      </c>
      <c r="R10" s="85">
        <f t="shared" si="2"/>
        <v>0.25617662519712631</v>
      </c>
      <c r="S10" s="85">
        <f t="shared" si="2"/>
        <v>0.19121508713296728</v>
      </c>
      <c r="T10" s="85">
        <f t="shared" si="2"/>
        <v>0.2451320352093892</v>
      </c>
      <c r="U10" s="85">
        <f t="shared" si="2"/>
        <v>0.26971869829012685</v>
      </c>
      <c r="V10" s="85">
        <f t="shared" si="2"/>
        <v>0.38578569876113888</v>
      </c>
      <c r="W10" s="85">
        <f t="shared" si="2"/>
        <v>0.21394799054373526</v>
      </c>
      <c r="X10" s="85">
        <f t="shared" ref="X10:AD10" si="3">X9/X6</f>
        <v>0.27288836385115178</v>
      </c>
      <c r="Y10" s="85">
        <f t="shared" si="3"/>
        <v>0.13699155794320797</v>
      </c>
      <c r="Z10" s="85">
        <f t="shared" si="3"/>
        <v>0.29513343799058084</v>
      </c>
      <c r="AA10" s="85">
        <f t="shared" si="3"/>
        <v>0.26003534460994698</v>
      </c>
      <c r="AB10" s="85">
        <f t="shared" si="3"/>
        <v>0.13973799126637557</v>
      </c>
      <c r="AC10" s="85">
        <f t="shared" si="3"/>
        <v>0.14320388349514562</v>
      </c>
      <c r="AD10" s="85">
        <f t="shared" si="3"/>
        <v>0.25809569840502655</v>
      </c>
      <c r="AE10" s="85">
        <f t="shared" ref="AE10:AO10" si="4">AE9/AE6</f>
        <v>0.18208516886930987</v>
      </c>
      <c r="AF10" s="85">
        <f t="shared" si="4"/>
        <v>0.19720438231960713</v>
      </c>
      <c r="AG10" s="85">
        <f t="shared" si="4"/>
        <v>0.19100236779794791</v>
      </c>
      <c r="AH10" s="85">
        <f t="shared" si="4"/>
        <v>0.29677006715701953</v>
      </c>
      <c r="AI10" s="85">
        <f t="shared" si="4"/>
        <v>0.16773094934014474</v>
      </c>
      <c r="AJ10" s="85">
        <f t="shared" si="4"/>
        <v>0.19131127939418094</v>
      </c>
      <c r="AK10" s="85">
        <f t="shared" si="4"/>
        <v>0.16680923866552608</v>
      </c>
      <c r="AL10" s="85">
        <f t="shared" si="4"/>
        <v>0.32435269419174245</v>
      </c>
      <c r="AM10" s="85">
        <f t="shared" si="4"/>
        <v>0.1742616033755274</v>
      </c>
      <c r="AN10" s="85">
        <f t="shared" si="4"/>
        <v>0.22752216124947233</v>
      </c>
      <c r="AO10" s="85">
        <f t="shared" si="4"/>
        <v>0.10768500948766603</v>
      </c>
    </row>
    <row r="11" spans="1:42" x14ac:dyDescent="0.35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</row>
    <row r="12" spans="1:42" ht="15" thickBot="1" x14ac:dyDescent="0.4">
      <c r="A12" s="79" t="s">
        <v>111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 t="s">
        <v>62</v>
      </c>
      <c r="R12" s="80" t="s">
        <v>65</v>
      </c>
      <c r="S12" s="80" t="s">
        <v>66</v>
      </c>
      <c r="T12" s="80" t="s">
        <v>61</v>
      </c>
      <c r="U12" s="80" t="s">
        <v>62</v>
      </c>
      <c r="V12" s="80" t="str">
        <f>V5</f>
        <v>Q4</v>
      </c>
      <c r="W12" s="80" t="s">
        <v>66</v>
      </c>
      <c r="X12" s="80" t="s">
        <v>61</v>
      </c>
      <c r="Y12" s="80" t="s">
        <v>62</v>
      </c>
      <c r="Z12" s="80" t="s">
        <v>65</v>
      </c>
      <c r="AA12" s="80" t="str">
        <f>AA5</f>
        <v>Q3</v>
      </c>
      <c r="AB12" s="80" t="str">
        <f>AB5</f>
        <v>Q2</v>
      </c>
      <c r="AC12" s="80" t="str">
        <f>AC5</f>
        <v>Q1</v>
      </c>
      <c r="AD12" s="80" t="s">
        <v>65</v>
      </c>
      <c r="AE12" s="80" t="s">
        <v>66</v>
      </c>
      <c r="AF12" s="80" t="s">
        <v>61</v>
      </c>
      <c r="AG12" s="80" t="s">
        <v>62</v>
      </c>
      <c r="AH12" s="80" t="s">
        <v>65</v>
      </c>
      <c r="AI12" s="80" t="s">
        <v>66</v>
      </c>
      <c r="AJ12" s="80" t="s">
        <v>61</v>
      </c>
      <c r="AK12" s="80" t="s">
        <v>62</v>
      </c>
      <c r="AL12" s="80" t="s">
        <v>65</v>
      </c>
      <c r="AM12" s="80" t="s">
        <v>66</v>
      </c>
      <c r="AN12" s="80" t="s">
        <v>61</v>
      </c>
      <c r="AO12" s="80" t="s">
        <v>62</v>
      </c>
    </row>
    <row r="13" spans="1:42" x14ac:dyDescent="0.35">
      <c r="A13" s="81" t="s">
        <v>110</v>
      </c>
      <c r="B13" s="185">
        <v>148.80000000000001</v>
      </c>
      <c r="C13" s="185">
        <v>120.6</v>
      </c>
      <c r="D13" s="185">
        <v>90.8</v>
      </c>
      <c r="E13" s="185">
        <v>92.8</v>
      </c>
      <c r="F13" s="185">
        <v>92.8</v>
      </c>
      <c r="G13" s="185">
        <v>116.4</v>
      </c>
      <c r="H13" s="185">
        <v>120.3</v>
      </c>
      <c r="I13" s="185">
        <v>77.5</v>
      </c>
      <c r="J13" s="185">
        <v>144.4</v>
      </c>
      <c r="K13" s="185">
        <v>83.6</v>
      </c>
      <c r="L13" s="185">
        <v>83</v>
      </c>
      <c r="M13" s="81">
        <v>56.3</v>
      </c>
      <c r="N13" s="81">
        <v>78.2</v>
      </c>
      <c r="O13" s="81">
        <v>63.3</v>
      </c>
      <c r="P13" s="81">
        <v>51.3</v>
      </c>
      <c r="Q13" s="81">
        <v>41.6</v>
      </c>
      <c r="R13" s="81">
        <v>63.5</v>
      </c>
      <c r="S13" s="172">
        <v>44</v>
      </c>
      <c r="T13" s="81">
        <v>38.9</v>
      </c>
      <c r="U13" s="81">
        <v>38.5</v>
      </c>
      <c r="V13" s="81">
        <v>56.9</v>
      </c>
      <c r="W13" s="81">
        <v>51.6</v>
      </c>
      <c r="X13" s="81">
        <v>62.5</v>
      </c>
      <c r="Y13" s="81">
        <v>36.799999999999997</v>
      </c>
      <c r="Z13" s="81">
        <v>53.1</v>
      </c>
      <c r="AA13" s="133">
        <v>49.8</v>
      </c>
      <c r="AB13" s="133">
        <v>50.8</v>
      </c>
      <c r="AC13" s="133">
        <v>35.700000000000003</v>
      </c>
      <c r="AD13" s="133">
        <v>41.5</v>
      </c>
      <c r="AE13" s="133">
        <v>41.4</v>
      </c>
      <c r="AF13" s="133">
        <v>36.1</v>
      </c>
      <c r="AG13" s="133">
        <v>33.4</v>
      </c>
      <c r="AH13" s="82">
        <v>40.9</v>
      </c>
      <c r="AI13" s="82">
        <v>38.5</v>
      </c>
      <c r="AJ13" s="82">
        <v>35.1</v>
      </c>
      <c r="AK13" s="82">
        <v>28.4</v>
      </c>
      <c r="AL13" s="82">
        <v>33.700000000000003</v>
      </c>
      <c r="AM13" s="82">
        <v>31.7</v>
      </c>
      <c r="AN13" s="82">
        <v>22.3</v>
      </c>
      <c r="AO13" s="82">
        <v>18</v>
      </c>
    </row>
    <row r="14" spans="1:42" x14ac:dyDescent="0.35">
      <c r="A14" s="81" t="s">
        <v>13</v>
      </c>
      <c r="B14" s="185">
        <v>33.5</v>
      </c>
      <c r="C14" s="185">
        <v>32.299999999999997</v>
      </c>
      <c r="D14" s="185">
        <v>31.2</v>
      </c>
      <c r="E14" s="185">
        <v>30.5</v>
      </c>
      <c r="F14" s="185">
        <v>30.2</v>
      </c>
      <c r="G14" s="185">
        <v>29.9</v>
      </c>
      <c r="H14" s="185">
        <v>31.3</v>
      </c>
      <c r="I14" s="185">
        <v>27.3</v>
      </c>
      <c r="J14" s="185">
        <v>24.6</v>
      </c>
      <c r="K14" s="185">
        <v>23.5</v>
      </c>
      <c r="L14" s="185">
        <v>24</v>
      </c>
      <c r="M14" s="81">
        <v>22.8</v>
      </c>
      <c r="N14" s="81">
        <v>23.4</v>
      </c>
      <c r="O14" s="81">
        <v>24</v>
      </c>
      <c r="P14" s="185">
        <v>19.899999999999999</v>
      </c>
      <c r="Q14" s="185">
        <v>19.2</v>
      </c>
      <c r="R14" s="185">
        <v>20.8</v>
      </c>
      <c r="S14" s="185">
        <v>17.2</v>
      </c>
      <c r="T14" s="185">
        <v>20</v>
      </c>
      <c r="U14" s="185">
        <v>18.100000000000001</v>
      </c>
      <c r="V14" s="220" t="s">
        <v>14</v>
      </c>
      <c r="W14" s="220" t="s">
        <v>14</v>
      </c>
      <c r="X14" s="220" t="s">
        <v>14</v>
      </c>
      <c r="Y14" s="220" t="s">
        <v>14</v>
      </c>
      <c r="Z14" s="220" t="s">
        <v>14</v>
      </c>
      <c r="AA14" s="220" t="s">
        <v>14</v>
      </c>
      <c r="AB14" s="220" t="s">
        <v>14</v>
      </c>
      <c r="AC14" s="220" t="s">
        <v>14</v>
      </c>
      <c r="AD14" s="220" t="s">
        <v>14</v>
      </c>
      <c r="AE14" s="220" t="s">
        <v>14</v>
      </c>
      <c r="AF14" s="220" t="s">
        <v>14</v>
      </c>
      <c r="AG14" s="220" t="s">
        <v>14</v>
      </c>
      <c r="AH14" s="220" t="s">
        <v>14</v>
      </c>
      <c r="AI14" s="220" t="s">
        <v>14</v>
      </c>
      <c r="AJ14" s="220" t="s">
        <v>14</v>
      </c>
      <c r="AK14" s="220" t="s">
        <v>14</v>
      </c>
      <c r="AL14" s="220" t="s">
        <v>14</v>
      </c>
      <c r="AM14" s="220" t="s">
        <v>14</v>
      </c>
      <c r="AN14" s="220" t="s">
        <v>14</v>
      </c>
      <c r="AO14" s="220" t="s">
        <v>14</v>
      </c>
      <c r="AP14" s="219"/>
    </row>
    <row r="15" spans="1:42" x14ac:dyDescent="0.35">
      <c r="A15" s="86" t="s">
        <v>15</v>
      </c>
      <c r="B15" s="220" t="s">
        <v>14</v>
      </c>
      <c r="C15" s="220" t="s">
        <v>14</v>
      </c>
      <c r="D15" s="220" t="s">
        <v>14</v>
      </c>
      <c r="E15" s="220" t="s">
        <v>14</v>
      </c>
      <c r="F15" s="220" t="s">
        <v>14</v>
      </c>
      <c r="G15" s="220" t="s">
        <v>14</v>
      </c>
      <c r="H15" s="220" t="s">
        <v>14</v>
      </c>
      <c r="I15" s="220" t="s">
        <v>14</v>
      </c>
      <c r="J15" s="220" t="s">
        <v>14</v>
      </c>
      <c r="K15" s="220" t="s">
        <v>14</v>
      </c>
      <c r="L15" s="220" t="s">
        <v>14</v>
      </c>
      <c r="M15" s="220" t="s">
        <v>14</v>
      </c>
      <c r="N15" s="220" t="s">
        <v>14</v>
      </c>
      <c r="O15" s="220" t="s">
        <v>14</v>
      </c>
      <c r="P15" s="220" t="s">
        <v>14</v>
      </c>
      <c r="Q15" s="220" t="s">
        <v>14</v>
      </c>
      <c r="R15" s="220">
        <v>0.1</v>
      </c>
      <c r="S15" s="220" t="s">
        <v>14</v>
      </c>
      <c r="T15" s="220" t="s">
        <v>14</v>
      </c>
      <c r="U15" s="220" t="s">
        <v>14</v>
      </c>
      <c r="V15" s="220" t="s">
        <v>14</v>
      </c>
      <c r="W15" s="220" t="s">
        <v>14</v>
      </c>
      <c r="X15" s="220" t="s">
        <v>14</v>
      </c>
      <c r="Y15" s="220" t="s">
        <v>14</v>
      </c>
      <c r="Z15" s="220" t="s">
        <v>14</v>
      </c>
      <c r="AA15" s="220" t="s">
        <v>14</v>
      </c>
      <c r="AB15" s="220" t="s">
        <v>14</v>
      </c>
      <c r="AC15" s="220" t="s">
        <v>14</v>
      </c>
      <c r="AD15" s="220" t="s">
        <v>14</v>
      </c>
      <c r="AE15" s="220" t="s">
        <v>14</v>
      </c>
      <c r="AF15" s="220" t="s">
        <v>14</v>
      </c>
      <c r="AG15" s="220" t="s">
        <v>14</v>
      </c>
      <c r="AH15" s="220" t="s">
        <v>14</v>
      </c>
      <c r="AI15" s="220" t="s">
        <v>14</v>
      </c>
      <c r="AJ15" s="220" t="s">
        <v>14</v>
      </c>
      <c r="AK15" s="220" t="s">
        <v>14</v>
      </c>
      <c r="AL15" s="220" t="s">
        <v>14</v>
      </c>
      <c r="AM15" s="220" t="s">
        <v>14</v>
      </c>
      <c r="AN15" s="220" t="s">
        <v>14</v>
      </c>
      <c r="AO15" s="220" t="s">
        <v>14</v>
      </c>
    </row>
    <row r="16" spans="1:42" x14ac:dyDescent="0.35">
      <c r="A16" s="214" t="s">
        <v>112</v>
      </c>
      <c r="B16" s="140">
        <v>34.4</v>
      </c>
      <c r="C16" s="140">
        <v>25.5</v>
      </c>
      <c r="D16" s="140">
        <v>8.9</v>
      </c>
      <c r="E16" s="140">
        <v>10.8</v>
      </c>
      <c r="F16" s="140">
        <v>4.0999999999999996</v>
      </c>
      <c r="G16" s="140">
        <v>134.80000000000001</v>
      </c>
      <c r="H16" s="140">
        <v>25.2</v>
      </c>
      <c r="I16" s="140">
        <v>10.1</v>
      </c>
      <c r="J16" s="140">
        <v>38.299999999999997</v>
      </c>
      <c r="K16" s="140">
        <v>9.4</v>
      </c>
      <c r="L16" s="140">
        <v>9.5</v>
      </c>
      <c r="M16" s="140">
        <v>2.6</v>
      </c>
      <c r="N16" s="188">
        <v>17.2</v>
      </c>
      <c r="O16" s="188">
        <v>8.5</v>
      </c>
      <c r="P16" s="188">
        <v>0</v>
      </c>
      <c r="Q16" s="140">
        <v>-6.5</v>
      </c>
      <c r="R16" s="140">
        <v>5.8</v>
      </c>
      <c r="S16" s="140">
        <v>-4.9000000000000004</v>
      </c>
      <c r="T16" s="188">
        <v>-4</v>
      </c>
      <c r="U16" s="140">
        <v>0.1</v>
      </c>
      <c r="V16" s="140">
        <v>6.8</v>
      </c>
      <c r="W16" s="140">
        <v>3.1</v>
      </c>
      <c r="X16" s="140">
        <v>-0.8</v>
      </c>
      <c r="Y16" s="140">
        <v>0.4</v>
      </c>
      <c r="Z16" s="140">
        <v>3.5</v>
      </c>
      <c r="AA16" s="91">
        <v>-1.3</v>
      </c>
      <c r="AB16" s="91">
        <v>1.7</v>
      </c>
      <c r="AC16" s="91">
        <v>-1</v>
      </c>
      <c r="AD16" s="91">
        <v>4.3</v>
      </c>
      <c r="AE16" s="91">
        <v>2.5</v>
      </c>
      <c r="AF16" s="91">
        <v>0.3</v>
      </c>
      <c r="AG16" s="91">
        <v>-0.1</v>
      </c>
      <c r="AH16" s="91">
        <v>4.0999999999999996</v>
      </c>
      <c r="AI16" s="91">
        <v>2.5</v>
      </c>
      <c r="AJ16" s="91">
        <v>0.2</v>
      </c>
      <c r="AK16" s="91">
        <v>0.2</v>
      </c>
      <c r="AL16" s="91">
        <v>-1.6</v>
      </c>
      <c r="AM16" s="91">
        <v>0.4</v>
      </c>
      <c r="AN16" s="91">
        <v>1</v>
      </c>
      <c r="AO16" s="91">
        <v>1.9</v>
      </c>
      <c r="AP16" s="240"/>
    </row>
    <row r="17" spans="1:42 3545:3545" x14ac:dyDescent="0.35">
      <c r="A17" s="83" t="s">
        <v>113</v>
      </c>
      <c r="B17" s="210">
        <v>34.4</v>
      </c>
      <c r="C17" s="210">
        <v>25.5</v>
      </c>
      <c r="D17" s="210">
        <v>8.9</v>
      </c>
      <c r="E17" s="210">
        <v>10.8</v>
      </c>
      <c r="F17" s="210">
        <v>4.0999999999999996</v>
      </c>
      <c r="G17" s="210">
        <v>24.8</v>
      </c>
      <c r="H17" s="241" t="s">
        <v>14</v>
      </c>
      <c r="I17" s="241" t="s">
        <v>14</v>
      </c>
      <c r="J17" s="241" t="s">
        <v>14</v>
      </c>
      <c r="K17" s="241" t="s">
        <v>14</v>
      </c>
      <c r="L17" s="241" t="s">
        <v>14</v>
      </c>
      <c r="M17" s="241" t="s">
        <v>14</v>
      </c>
      <c r="N17" s="241" t="s">
        <v>14</v>
      </c>
      <c r="O17" s="241" t="s">
        <v>14</v>
      </c>
      <c r="P17" s="241" t="s">
        <v>14</v>
      </c>
      <c r="Q17" s="241" t="s">
        <v>14</v>
      </c>
      <c r="R17" s="241" t="s">
        <v>14</v>
      </c>
      <c r="S17" s="241" t="s">
        <v>14</v>
      </c>
      <c r="T17" s="241" t="s">
        <v>14</v>
      </c>
      <c r="U17" s="241" t="s">
        <v>14</v>
      </c>
      <c r="V17" s="241" t="s">
        <v>14</v>
      </c>
      <c r="W17" s="241" t="s">
        <v>14</v>
      </c>
      <c r="X17" s="241" t="s">
        <v>14</v>
      </c>
      <c r="Y17" s="241" t="s">
        <v>14</v>
      </c>
      <c r="Z17" s="241" t="s">
        <v>14</v>
      </c>
      <c r="AA17" s="241" t="s">
        <v>14</v>
      </c>
      <c r="AB17" s="241" t="s">
        <v>14</v>
      </c>
      <c r="AC17" s="241" t="s">
        <v>14</v>
      </c>
      <c r="AD17" s="241" t="s">
        <v>14</v>
      </c>
      <c r="AE17" s="241" t="s">
        <v>14</v>
      </c>
      <c r="AF17" s="241" t="s">
        <v>14</v>
      </c>
      <c r="AG17" s="241" t="s">
        <v>14</v>
      </c>
      <c r="AH17" s="241" t="s">
        <v>14</v>
      </c>
      <c r="AI17" s="241" t="s">
        <v>14</v>
      </c>
      <c r="AJ17" s="241" t="s">
        <v>14</v>
      </c>
      <c r="AK17" s="241" t="s">
        <v>14</v>
      </c>
      <c r="AL17" s="241" t="s">
        <v>14</v>
      </c>
      <c r="AM17" s="241" t="s">
        <v>14</v>
      </c>
      <c r="AN17" s="241" t="s">
        <v>14</v>
      </c>
      <c r="AO17" s="241" t="s">
        <v>14</v>
      </c>
      <c r="AP17" s="242"/>
      <c r="EFI17" s="220"/>
    </row>
    <row r="18" spans="1:42 3545:3545" x14ac:dyDescent="0.35">
      <c r="A18" s="81" t="s">
        <v>28</v>
      </c>
      <c r="B18" s="85">
        <f t="shared" ref="B18" si="5">B16/B13</f>
        <v>0.23118279569892469</v>
      </c>
      <c r="C18" s="85">
        <f t="shared" ref="C18:D18" si="6">C16/C13</f>
        <v>0.21144278606965175</v>
      </c>
      <c r="D18" s="85">
        <f t="shared" si="6"/>
        <v>9.8017621145374462E-2</v>
      </c>
      <c r="E18" s="85">
        <f t="shared" ref="E18:F18" si="7">E16/E13</f>
        <v>0.1163793103448276</v>
      </c>
      <c r="F18" s="85">
        <f t="shared" si="7"/>
        <v>4.4181034482758619E-2</v>
      </c>
      <c r="G18" s="85">
        <f t="shared" ref="G18:O18" si="8">G16/G13</f>
        <v>1.1580756013745706</v>
      </c>
      <c r="H18" s="85">
        <f t="shared" si="8"/>
        <v>0.20947630922693267</v>
      </c>
      <c r="I18" s="85">
        <f t="shared" si="8"/>
        <v>0.13032258064516128</v>
      </c>
      <c r="J18" s="85">
        <f t="shared" si="8"/>
        <v>0.26523545706371188</v>
      </c>
      <c r="K18" s="85">
        <f t="shared" si="8"/>
        <v>0.11244019138755983</v>
      </c>
      <c r="L18" s="85">
        <f t="shared" si="8"/>
        <v>0.1144578313253012</v>
      </c>
      <c r="M18" s="85">
        <f t="shared" si="8"/>
        <v>4.6181172291296632E-2</v>
      </c>
      <c r="N18" s="85">
        <f t="shared" si="8"/>
        <v>0.21994884910485932</v>
      </c>
      <c r="O18" s="85">
        <f t="shared" si="8"/>
        <v>0.13428120063191154</v>
      </c>
      <c r="P18" s="85">
        <f>P16/P13</f>
        <v>0</v>
      </c>
      <c r="Q18" s="85">
        <f t="shared" ref="Q18:W18" si="9">Q16/Q13</f>
        <v>-0.15625</v>
      </c>
      <c r="R18" s="85">
        <f t="shared" si="9"/>
        <v>9.1338582677165353E-2</v>
      </c>
      <c r="S18" s="85">
        <f t="shared" si="9"/>
        <v>-0.11136363636363637</v>
      </c>
      <c r="T18" s="85">
        <f t="shared" si="9"/>
        <v>-0.10282776349614396</v>
      </c>
      <c r="U18" s="85">
        <f t="shared" si="9"/>
        <v>2.5974025974025974E-3</v>
      </c>
      <c r="V18" s="85">
        <f t="shared" si="9"/>
        <v>0.1195079086115993</v>
      </c>
      <c r="W18" s="85">
        <f t="shared" si="9"/>
        <v>6.0077519379844964E-2</v>
      </c>
      <c r="X18" s="85">
        <f t="shared" ref="X18:AD18" si="10">X16/X13</f>
        <v>-1.2800000000000001E-2</v>
      </c>
      <c r="Y18" s="85">
        <f t="shared" si="10"/>
        <v>1.0869565217391306E-2</v>
      </c>
      <c r="Z18" s="85">
        <f t="shared" si="10"/>
        <v>6.5913370998116755E-2</v>
      </c>
      <c r="AA18" s="85">
        <f t="shared" si="10"/>
        <v>-2.6104417670682733E-2</v>
      </c>
      <c r="AB18" s="85">
        <f t="shared" si="10"/>
        <v>3.3464566929133861E-2</v>
      </c>
      <c r="AC18" s="85">
        <f t="shared" si="10"/>
        <v>-2.8011204481792715E-2</v>
      </c>
      <c r="AD18" s="85">
        <f t="shared" si="10"/>
        <v>0.10361445783132529</v>
      </c>
      <c r="AE18" s="85">
        <f t="shared" ref="AE18:AO18" si="11">AE16/AE13</f>
        <v>6.0386473429951695E-2</v>
      </c>
      <c r="AF18" s="85">
        <f t="shared" si="11"/>
        <v>8.3102493074792231E-3</v>
      </c>
      <c r="AG18" s="85">
        <f t="shared" si="11"/>
        <v>-2.9940119760479044E-3</v>
      </c>
      <c r="AH18" s="85">
        <f t="shared" si="11"/>
        <v>0.1002444987775061</v>
      </c>
      <c r="AI18" s="85">
        <f t="shared" si="11"/>
        <v>6.4935064935064929E-2</v>
      </c>
      <c r="AJ18" s="85">
        <f t="shared" si="11"/>
        <v>5.6980056980056983E-3</v>
      </c>
      <c r="AK18" s="85">
        <f t="shared" si="11"/>
        <v>7.0422535211267616E-3</v>
      </c>
      <c r="AL18" s="85">
        <f t="shared" si="11"/>
        <v>-4.7477744807121663E-2</v>
      </c>
      <c r="AM18" s="85">
        <f t="shared" si="11"/>
        <v>1.2618296529968456E-2</v>
      </c>
      <c r="AN18" s="85">
        <f t="shared" si="11"/>
        <v>4.4843049327354258E-2</v>
      </c>
      <c r="AO18" s="85">
        <f t="shared" si="11"/>
        <v>0.10555555555555556</v>
      </c>
    </row>
    <row r="19" spans="1:42 3545:3545" x14ac:dyDescent="0.35">
      <c r="A19" s="140" t="s">
        <v>114</v>
      </c>
      <c r="B19" s="85">
        <f t="shared" ref="B19" si="12">B17/B13</f>
        <v>0.23118279569892469</v>
      </c>
      <c r="C19" s="85">
        <f t="shared" ref="C19:D19" si="13">C17/C13</f>
        <v>0.21144278606965175</v>
      </c>
      <c r="D19" s="85">
        <f t="shared" si="13"/>
        <v>9.8017621145374462E-2</v>
      </c>
      <c r="E19" s="85">
        <f t="shared" ref="E19:F19" si="14">E17/E13</f>
        <v>0.1163793103448276</v>
      </c>
      <c r="F19" s="85">
        <f t="shared" si="14"/>
        <v>4.4181034482758619E-2</v>
      </c>
      <c r="G19" s="85">
        <f>G17/G13</f>
        <v>0.21305841924398625</v>
      </c>
      <c r="H19" s="243" t="s">
        <v>14</v>
      </c>
      <c r="I19" s="243" t="s">
        <v>14</v>
      </c>
      <c r="J19" s="243" t="s">
        <v>14</v>
      </c>
      <c r="K19" s="243" t="s">
        <v>14</v>
      </c>
      <c r="L19" s="243" t="s">
        <v>14</v>
      </c>
      <c r="M19" s="243" t="s">
        <v>14</v>
      </c>
      <c r="N19" s="243" t="s">
        <v>14</v>
      </c>
      <c r="O19" s="243" t="s">
        <v>14</v>
      </c>
      <c r="P19" s="243" t="s">
        <v>14</v>
      </c>
      <c r="Q19" s="243" t="s">
        <v>14</v>
      </c>
      <c r="R19" s="243" t="s">
        <v>14</v>
      </c>
      <c r="S19" s="243" t="s">
        <v>14</v>
      </c>
      <c r="T19" s="243" t="s">
        <v>14</v>
      </c>
      <c r="U19" s="243" t="s">
        <v>14</v>
      </c>
      <c r="V19" s="243" t="s">
        <v>14</v>
      </c>
      <c r="W19" s="243" t="s">
        <v>14</v>
      </c>
      <c r="X19" s="243" t="s">
        <v>14</v>
      </c>
      <c r="Y19" s="243" t="s">
        <v>14</v>
      </c>
      <c r="Z19" s="243" t="s">
        <v>14</v>
      </c>
      <c r="AA19" s="243" t="s">
        <v>14</v>
      </c>
      <c r="AB19" s="243" t="s">
        <v>14</v>
      </c>
      <c r="AC19" s="243" t="s">
        <v>14</v>
      </c>
      <c r="AD19" s="243" t="s">
        <v>14</v>
      </c>
      <c r="AE19" s="243" t="s">
        <v>14</v>
      </c>
      <c r="AF19" s="243" t="s">
        <v>14</v>
      </c>
      <c r="AG19" s="243" t="s">
        <v>14</v>
      </c>
      <c r="AH19" s="243" t="s">
        <v>14</v>
      </c>
      <c r="AI19" s="243" t="s">
        <v>14</v>
      </c>
      <c r="AJ19" s="243" t="s">
        <v>14</v>
      </c>
      <c r="AK19" s="243" t="s">
        <v>14</v>
      </c>
      <c r="AL19" s="243" t="s">
        <v>14</v>
      </c>
      <c r="AM19" s="243" t="s">
        <v>14</v>
      </c>
      <c r="AN19" s="243" t="s">
        <v>14</v>
      </c>
      <c r="AO19" s="243" t="s">
        <v>14</v>
      </c>
    </row>
    <row r="20" spans="1:42 3545:3545" x14ac:dyDescent="0.35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</row>
    <row r="21" spans="1:42 3545:3545" ht="15" thickBot="1" x14ac:dyDescent="0.4">
      <c r="A21" s="79" t="s">
        <v>115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80" t="s">
        <v>62</v>
      </c>
      <c r="R21" s="80" t="s">
        <v>65</v>
      </c>
      <c r="S21" s="80" t="s">
        <v>66</v>
      </c>
      <c r="T21" s="80" t="s">
        <v>61</v>
      </c>
      <c r="U21" s="80" t="s">
        <v>62</v>
      </c>
      <c r="V21" s="80" t="str">
        <f>V5</f>
        <v>Q4</v>
      </c>
      <c r="W21" s="80" t="s">
        <v>66</v>
      </c>
      <c r="X21" s="80" t="s">
        <v>61</v>
      </c>
      <c r="Y21" s="80" t="s">
        <v>62</v>
      </c>
      <c r="Z21" s="80" t="s">
        <v>65</v>
      </c>
      <c r="AA21" s="80" t="str">
        <f>AA5</f>
        <v>Q3</v>
      </c>
      <c r="AB21" s="80" t="str">
        <f>AB5</f>
        <v>Q2</v>
      </c>
      <c r="AC21" s="80" t="str">
        <f>AC5</f>
        <v>Q1</v>
      </c>
      <c r="AD21" s="80" t="s">
        <v>65</v>
      </c>
      <c r="AE21" s="80" t="s">
        <v>66</v>
      </c>
      <c r="AF21" s="80" t="s">
        <v>61</v>
      </c>
      <c r="AG21" s="80" t="s">
        <v>62</v>
      </c>
      <c r="AH21" s="80" t="s">
        <v>65</v>
      </c>
      <c r="AI21" s="80" t="s">
        <v>66</v>
      </c>
      <c r="AJ21" s="80" t="s">
        <v>61</v>
      </c>
      <c r="AK21" s="80" t="s">
        <v>62</v>
      </c>
      <c r="AL21" s="80" t="s">
        <v>65</v>
      </c>
      <c r="AM21" s="80" t="s">
        <v>66</v>
      </c>
      <c r="AN21" s="80" t="s">
        <v>61</v>
      </c>
      <c r="AO21" s="80" t="s">
        <v>62</v>
      </c>
    </row>
    <row r="22" spans="1:42 3545:3545" x14ac:dyDescent="0.35">
      <c r="A22" s="81" t="s">
        <v>110</v>
      </c>
      <c r="B22" s="185">
        <v>31.7</v>
      </c>
      <c r="C22" s="185">
        <v>23.8</v>
      </c>
      <c r="D22" s="185">
        <v>29.4</v>
      </c>
      <c r="E22" s="185">
        <v>22.2</v>
      </c>
      <c r="F22" s="185">
        <v>30.3</v>
      </c>
      <c r="G22" s="185">
        <v>24</v>
      </c>
      <c r="H22" s="81">
        <v>18.8</v>
      </c>
      <c r="I22" s="81">
        <v>17.600000000000001</v>
      </c>
      <c r="J22" s="81">
        <v>25.7</v>
      </c>
      <c r="K22" s="81">
        <v>22.9</v>
      </c>
      <c r="L22" s="81">
        <v>24.5</v>
      </c>
      <c r="M22" s="81">
        <v>16.7</v>
      </c>
      <c r="N22" s="81">
        <v>22.6</v>
      </c>
      <c r="O22" s="81">
        <v>22.8</v>
      </c>
      <c r="P22" s="81">
        <v>15.7</v>
      </c>
      <c r="Q22" s="81">
        <v>12.7</v>
      </c>
      <c r="R22" s="172">
        <v>22</v>
      </c>
      <c r="S22" s="81">
        <v>19.100000000000001</v>
      </c>
      <c r="T22" s="185">
        <v>13</v>
      </c>
      <c r="U22" s="81">
        <v>12.3</v>
      </c>
      <c r="V22" s="81">
        <v>17.399999999999999</v>
      </c>
      <c r="W22" s="81">
        <v>11.2</v>
      </c>
      <c r="X22" s="81">
        <v>18.3</v>
      </c>
      <c r="Y22" s="81">
        <v>8.8000000000000007</v>
      </c>
      <c r="Z22" s="81">
        <v>22.5</v>
      </c>
      <c r="AA22" s="82">
        <v>20.3</v>
      </c>
      <c r="AB22" s="82">
        <v>19.8</v>
      </c>
      <c r="AC22" s="82">
        <v>15.6</v>
      </c>
      <c r="AD22" s="82">
        <v>21.2</v>
      </c>
      <c r="AE22" s="82">
        <v>19.5</v>
      </c>
      <c r="AF22" s="82">
        <v>16.600000000000001</v>
      </c>
      <c r="AG22" s="82">
        <v>11.5</v>
      </c>
      <c r="AH22" s="82">
        <v>26.6</v>
      </c>
      <c r="AI22" s="82">
        <v>17.399999999999999</v>
      </c>
      <c r="AJ22" s="82">
        <v>15.1</v>
      </c>
      <c r="AK22" s="82">
        <v>11.2</v>
      </c>
      <c r="AL22" s="82">
        <v>15.2</v>
      </c>
      <c r="AM22" s="82">
        <v>18.8</v>
      </c>
      <c r="AN22" s="82">
        <v>16.899999999999999</v>
      </c>
      <c r="AO22" s="82">
        <v>14.5</v>
      </c>
    </row>
    <row r="23" spans="1:42 3545:3545" x14ac:dyDescent="0.35">
      <c r="A23" s="81" t="s">
        <v>13</v>
      </c>
      <c r="B23" s="81">
        <v>6.2</v>
      </c>
      <c r="C23" s="81">
        <v>6.3</v>
      </c>
      <c r="D23" s="81">
        <v>6.1</v>
      </c>
      <c r="E23" s="81">
        <v>5.4</v>
      </c>
      <c r="F23" s="81">
        <v>6.3</v>
      </c>
      <c r="G23" s="81">
        <v>5.5</v>
      </c>
      <c r="H23" s="81">
        <v>5.5</v>
      </c>
      <c r="I23" s="81">
        <v>5.8</v>
      </c>
      <c r="J23" s="81">
        <v>5.9</v>
      </c>
      <c r="K23" s="81">
        <v>5.8</v>
      </c>
      <c r="L23" s="81">
        <v>4.5999999999999996</v>
      </c>
      <c r="M23" s="81">
        <v>3.7</v>
      </c>
      <c r="N23" s="81">
        <v>4.8</v>
      </c>
      <c r="O23" s="81">
        <v>3.6</v>
      </c>
      <c r="P23" s="185">
        <v>3.4</v>
      </c>
      <c r="Q23" s="185">
        <v>2.9</v>
      </c>
      <c r="R23" s="185">
        <v>2.8</v>
      </c>
      <c r="S23" s="185">
        <v>3.6</v>
      </c>
      <c r="T23" s="185">
        <v>2</v>
      </c>
      <c r="U23" s="185">
        <v>2</v>
      </c>
      <c r="V23" s="229" t="s">
        <v>14</v>
      </c>
      <c r="W23" s="229" t="s">
        <v>14</v>
      </c>
      <c r="X23" s="229" t="s">
        <v>14</v>
      </c>
      <c r="Y23" s="229" t="s">
        <v>14</v>
      </c>
      <c r="Z23" s="229" t="s">
        <v>14</v>
      </c>
      <c r="AA23" s="229" t="s">
        <v>14</v>
      </c>
      <c r="AB23" s="229" t="s">
        <v>14</v>
      </c>
      <c r="AC23" s="229" t="s">
        <v>14</v>
      </c>
      <c r="AD23" s="229" t="s">
        <v>14</v>
      </c>
      <c r="AE23" s="229" t="s">
        <v>14</v>
      </c>
      <c r="AF23" s="229" t="s">
        <v>14</v>
      </c>
      <c r="AG23" s="229" t="s">
        <v>14</v>
      </c>
      <c r="AH23" s="229" t="s">
        <v>14</v>
      </c>
      <c r="AI23" s="229" t="s">
        <v>14</v>
      </c>
      <c r="AJ23" s="229" t="s">
        <v>14</v>
      </c>
      <c r="AK23" s="229" t="s">
        <v>14</v>
      </c>
      <c r="AL23" s="229" t="s">
        <v>14</v>
      </c>
      <c r="AM23" s="229" t="s">
        <v>14</v>
      </c>
      <c r="AN23" s="229" t="s">
        <v>14</v>
      </c>
      <c r="AO23" s="229" t="s">
        <v>14</v>
      </c>
      <c r="AP23" s="219"/>
    </row>
    <row r="24" spans="1:42 3545:3545" x14ac:dyDescent="0.35">
      <c r="A24" s="86" t="s">
        <v>15</v>
      </c>
      <c r="B24" s="86">
        <v>5.3</v>
      </c>
      <c r="C24" s="86">
        <v>5.2</v>
      </c>
      <c r="D24" s="86">
        <v>5.5</v>
      </c>
      <c r="E24" s="86">
        <v>4.7</v>
      </c>
      <c r="F24" s="86">
        <v>4.9000000000000004</v>
      </c>
      <c r="G24" s="86">
        <v>4.7</v>
      </c>
      <c r="H24" s="86">
        <v>4.8</v>
      </c>
      <c r="I24" s="86">
        <v>5.2</v>
      </c>
      <c r="J24" s="86">
        <v>5.6</v>
      </c>
      <c r="K24" s="86">
        <v>5.4</v>
      </c>
      <c r="L24" s="86">
        <v>4.2</v>
      </c>
      <c r="M24" s="86">
        <v>3.4</v>
      </c>
      <c r="N24" s="174">
        <v>4</v>
      </c>
      <c r="O24" s="86">
        <v>3.4</v>
      </c>
      <c r="P24" s="186">
        <v>3.2</v>
      </c>
      <c r="Q24" s="186">
        <v>2.7</v>
      </c>
      <c r="R24" s="186">
        <v>2.6</v>
      </c>
      <c r="S24" s="186">
        <v>3.3</v>
      </c>
      <c r="T24" s="186">
        <v>1.8</v>
      </c>
      <c r="U24" s="186">
        <v>1.7</v>
      </c>
      <c r="V24" s="230" t="s">
        <v>14</v>
      </c>
      <c r="W24" s="230" t="s">
        <v>14</v>
      </c>
      <c r="X24" s="230" t="s">
        <v>14</v>
      </c>
      <c r="Y24" s="230" t="s">
        <v>14</v>
      </c>
      <c r="Z24" s="230" t="s">
        <v>14</v>
      </c>
      <c r="AA24" s="230" t="s">
        <v>14</v>
      </c>
      <c r="AB24" s="230" t="s">
        <v>14</v>
      </c>
      <c r="AC24" s="230" t="s">
        <v>14</v>
      </c>
      <c r="AD24" s="230" t="s">
        <v>14</v>
      </c>
      <c r="AE24" s="230" t="s">
        <v>14</v>
      </c>
      <c r="AF24" s="230" t="s">
        <v>14</v>
      </c>
      <c r="AG24" s="230" t="s">
        <v>14</v>
      </c>
      <c r="AH24" s="230" t="s">
        <v>14</v>
      </c>
      <c r="AI24" s="230" t="s">
        <v>14</v>
      </c>
      <c r="AJ24" s="230" t="s">
        <v>14</v>
      </c>
      <c r="AK24" s="230" t="s">
        <v>14</v>
      </c>
      <c r="AL24" s="230" t="s">
        <v>14</v>
      </c>
      <c r="AM24" s="230" t="s">
        <v>14</v>
      </c>
      <c r="AN24" s="230" t="s">
        <v>14</v>
      </c>
      <c r="AO24" s="230" t="s">
        <v>14</v>
      </c>
    </row>
    <row r="25" spans="1:42 3545:3545" x14ac:dyDescent="0.35">
      <c r="A25" s="83" t="s">
        <v>112</v>
      </c>
      <c r="B25" s="173">
        <v>7.7</v>
      </c>
      <c r="C25" s="173">
        <v>0.7</v>
      </c>
      <c r="D25" s="173">
        <v>6</v>
      </c>
      <c r="E25" s="173">
        <v>1.6</v>
      </c>
      <c r="F25" s="173">
        <v>9.5</v>
      </c>
      <c r="G25" s="173">
        <v>2.2999999999999998</v>
      </c>
      <c r="H25" s="173">
        <v>-1.5</v>
      </c>
      <c r="I25" s="173">
        <v>-0.3</v>
      </c>
      <c r="J25" s="173">
        <v>8.6999999999999993</v>
      </c>
      <c r="K25" s="173">
        <v>4</v>
      </c>
      <c r="L25" s="83">
        <v>5.5</v>
      </c>
      <c r="M25" s="173">
        <v>-1</v>
      </c>
      <c r="N25" s="83">
        <v>6.5</v>
      </c>
      <c r="O25" s="83">
        <v>5.0999999999999996</v>
      </c>
      <c r="P25" s="83">
        <v>0.6</v>
      </c>
      <c r="Q25" s="83">
        <v>-1.8</v>
      </c>
      <c r="R25" s="83">
        <v>4.0999999999999996</v>
      </c>
      <c r="S25" s="204">
        <v>3</v>
      </c>
      <c r="T25" s="83">
        <v>0.5</v>
      </c>
      <c r="U25" s="83">
        <v>-1.5</v>
      </c>
      <c r="V25" s="173">
        <v>5.9</v>
      </c>
      <c r="W25" s="173">
        <v>-1</v>
      </c>
      <c r="X25" s="173">
        <v>1</v>
      </c>
      <c r="Y25" s="83">
        <v>-5.0999999999999996</v>
      </c>
      <c r="Z25" s="83">
        <v>8.6999999999999993</v>
      </c>
      <c r="AA25" s="84">
        <v>4.7</v>
      </c>
      <c r="AB25" s="84">
        <v>-1</v>
      </c>
      <c r="AC25" s="84">
        <v>0.5</v>
      </c>
      <c r="AD25" s="84">
        <v>0.8</v>
      </c>
      <c r="AE25" s="84">
        <v>1</v>
      </c>
      <c r="AF25" s="84">
        <v>-3.9</v>
      </c>
      <c r="AG25" s="84">
        <v>-4</v>
      </c>
      <c r="AH25" s="84">
        <v>7</v>
      </c>
      <c r="AI25" s="84">
        <v>2.7</v>
      </c>
      <c r="AJ25" s="84">
        <v>-0.7</v>
      </c>
      <c r="AK25" s="84">
        <v>-2</v>
      </c>
      <c r="AL25" s="84">
        <v>-2.7</v>
      </c>
      <c r="AM25" s="84">
        <v>3.9</v>
      </c>
      <c r="AN25" s="84">
        <v>2.4</v>
      </c>
      <c r="AO25" s="84">
        <v>1.4</v>
      </c>
    </row>
    <row r="26" spans="1:42 3545:3545" x14ac:dyDescent="0.35">
      <c r="A26" s="81" t="s">
        <v>28</v>
      </c>
      <c r="B26" s="85">
        <f t="shared" ref="B26:O26" si="15">B25/B22</f>
        <v>0.24290220820189276</v>
      </c>
      <c r="C26" s="85">
        <f t="shared" si="15"/>
        <v>2.9411764705882349E-2</v>
      </c>
      <c r="D26" s="85">
        <f t="shared" si="15"/>
        <v>0.20408163265306123</v>
      </c>
      <c r="E26" s="85">
        <f t="shared" si="15"/>
        <v>7.2072072072072071E-2</v>
      </c>
      <c r="F26" s="85">
        <f t="shared" si="15"/>
        <v>0.31353135313531355</v>
      </c>
      <c r="G26" s="85">
        <f t="shared" si="15"/>
        <v>9.5833333333333326E-2</v>
      </c>
      <c r="H26" s="85">
        <f t="shared" si="15"/>
        <v>-7.9787234042553182E-2</v>
      </c>
      <c r="I26" s="85">
        <f t="shared" si="15"/>
        <v>-1.7045454545454544E-2</v>
      </c>
      <c r="J26" s="85">
        <f t="shared" si="15"/>
        <v>0.33852140077821008</v>
      </c>
      <c r="K26" s="85">
        <f t="shared" si="15"/>
        <v>0.17467248908296945</v>
      </c>
      <c r="L26" s="85">
        <f t="shared" si="15"/>
        <v>0.22448979591836735</v>
      </c>
      <c r="M26" s="85">
        <f t="shared" si="15"/>
        <v>-5.9880239520958084E-2</v>
      </c>
      <c r="N26" s="85">
        <f t="shared" si="15"/>
        <v>0.28761061946902655</v>
      </c>
      <c r="O26" s="85">
        <f t="shared" si="15"/>
        <v>0.22368421052631576</v>
      </c>
      <c r="P26" s="85">
        <f>P25/P22</f>
        <v>3.8216560509554139E-2</v>
      </c>
      <c r="Q26" s="85">
        <f t="shared" ref="Q26:T26" si="16">Q25/Q22</f>
        <v>-0.14173228346456693</v>
      </c>
      <c r="R26" s="85">
        <f t="shared" si="16"/>
        <v>0.18636363636363634</v>
      </c>
      <c r="S26" s="85">
        <f t="shared" si="16"/>
        <v>0.15706806282722513</v>
      </c>
      <c r="T26" s="85">
        <f t="shared" si="16"/>
        <v>3.8461538461538464E-2</v>
      </c>
      <c r="U26" s="85">
        <f>U25/U22</f>
        <v>-0.12195121951219512</v>
      </c>
      <c r="V26" s="85">
        <f t="shared" ref="V26:W26" si="17">V25/V22</f>
        <v>0.33908045977011497</v>
      </c>
      <c r="W26" s="85">
        <f t="shared" si="17"/>
        <v>-8.9285714285714288E-2</v>
      </c>
      <c r="X26" s="85">
        <f t="shared" ref="X26:AD26" si="18">X25/X22</f>
        <v>5.4644808743169397E-2</v>
      </c>
      <c r="Y26" s="85">
        <f t="shared" si="18"/>
        <v>-0.57954545454545447</v>
      </c>
      <c r="Z26" s="85">
        <f t="shared" si="18"/>
        <v>0.38666666666666666</v>
      </c>
      <c r="AA26" s="85">
        <f t="shared" si="18"/>
        <v>0.23152709359605911</v>
      </c>
      <c r="AB26" s="85">
        <f t="shared" si="18"/>
        <v>-5.0505050505050504E-2</v>
      </c>
      <c r="AC26" s="85">
        <f t="shared" si="18"/>
        <v>3.2051282051282055E-2</v>
      </c>
      <c r="AD26" s="85">
        <f t="shared" si="18"/>
        <v>3.7735849056603779E-2</v>
      </c>
      <c r="AE26" s="85">
        <f t="shared" ref="AE26:AO26" si="19">AE25/AE22</f>
        <v>5.128205128205128E-2</v>
      </c>
      <c r="AF26" s="85">
        <f t="shared" si="19"/>
        <v>-0.23493975903614456</v>
      </c>
      <c r="AG26" s="85">
        <f t="shared" si="19"/>
        <v>-0.34782608695652173</v>
      </c>
      <c r="AH26" s="85">
        <f t="shared" si="19"/>
        <v>0.26315789473684209</v>
      </c>
      <c r="AI26" s="85">
        <f t="shared" si="19"/>
        <v>0.15517241379310348</v>
      </c>
      <c r="AJ26" s="85">
        <f t="shared" si="19"/>
        <v>-4.6357615894039736E-2</v>
      </c>
      <c r="AK26" s="85">
        <f t="shared" si="19"/>
        <v>-0.17857142857142858</v>
      </c>
      <c r="AL26" s="85">
        <f t="shared" si="19"/>
        <v>-0.17763157894736845</v>
      </c>
      <c r="AM26" s="85">
        <f t="shared" si="19"/>
        <v>0.20744680851063829</v>
      </c>
      <c r="AN26" s="85">
        <f t="shared" si="19"/>
        <v>0.14201183431952663</v>
      </c>
      <c r="AO26" s="85">
        <f t="shared" si="19"/>
        <v>9.6551724137931033E-2</v>
      </c>
    </row>
    <row r="27" spans="1:42 3545:3545" x14ac:dyDescent="0.35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</row>
    <row r="28" spans="1:42 3545:3545" ht="15" thickBot="1" x14ac:dyDescent="0.4">
      <c r="A28" s="79" t="s">
        <v>116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 t="s">
        <v>62</v>
      </c>
      <c r="R28" s="80" t="s">
        <v>65</v>
      </c>
      <c r="S28" s="80" t="s">
        <v>66</v>
      </c>
      <c r="T28" s="80" t="s">
        <v>61</v>
      </c>
      <c r="U28" s="80" t="s">
        <v>62</v>
      </c>
      <c r="V28" s="80" t="str">
        <f>V5</f>
        <v>Q4</v>
      </c>
      <c r="W28" s="80" t="s">
        <v>66</v>
      </c>
      <c r="X28" s="80" t="s">
        <v>61</v>
      </c>
      <c r="Y28" s="80" t="s">
        <v>62</v>
      </c>
      <c r="Z28" s="80" t="s">
        <v>65</v>
      </c>
      <c r="AA28" s="80" t="str">
        <f>AA5</f>
        <v>Q3</v>
      </c>
      <c r="AB28" s="80" t="str">
        <f>AB5</f>
        <v>Q2</v>
      </c>
      <c r="AC28" s="80" t="str">
        <f>AC5</f>
        <v>Q1</v>
      </c>
      <c r="AD28" s="80" t="s">
        <v>65</v>
      </c>
      <c r="AE28" s="80" t="s">
        <v>66</v>
      </c>
      <c r="AF28" s="80" t="s">
        <v>61</v>
      </c>
      <c r="AG28" s="80" t="s">
        <v>62</v>
      </c>
      <c r="AH28" s="80" t="s">
        <v>65</v>
      </c>
      <c r="AI28" s="80" t="s">
        <v>66</v>
      </c>
      <c r="AJ28" s="80" t="s">
        <v>61</v>
      </c>
      <c r="AK28" s="80" t="s">
        <v>62</v>
      </c>
      <c r="AL28" s="80" t="s">
        <v>65</v>
      </c>
      <c r="AM28" s="80" t="s">
        <v>66</v>
      </c>
      <c r="AN28" s="80" t="s">
        <v>61</v>
      </c>
      <c r="AO28" s="80" t="s">
        <v>62</v>
      </c>
    </row>
    <row r="29" spans="1:42 3545:3545" x14ac:dyDescent="0.35">
      <c r="A29" s="81" t="s">
        <v>110</v>
      </c>
      <c r="B29" s="81">
        <v>85.3</v>
      </c>
      <c r="C29" s="81">
        <v>84.8</v>
      </c>
      <c r="D29" s="81">
        <v>77.2</v>
      </c>
      <c r="E29" s="81">
        <v>67.900000000000006</v>
      </c>
      <c r="F29" s="81">
        <v>56.7</v>
      </c>
      <c r="G29" s="81">
        <v>59.2</v>
      </c>
      <c r="H29" s="81">
        <v>53.7</v>
      </c>
      <c r="I29" s="81">
        <v>47.3</v>
      </c>
      <c r="J29" s="81">
        <v>43.4</v>
      </c>
      <c r="K29" s="81">
        <v>44.1</v>
      </c>
      <c r="L29" s="81">
        <v>42.8</v>
      </c>
      <c r="M29" s="81">
        <v>34.6</v>
      </c>
      <c r="N29" s="81">
        <v>34.299999999999997</v>
      </c>
      <c r="O29" s="81">
        <v>31.5</v>
      </c>
      <c r="P29" s="81">
        <v>32.299999999999997</v>
      </c>
      <c r="Q29" s="81">
        <v>26.6</v>
      </c>
      <c r="R29" s="81">
        <v>26.9</v>
      </c>
      <c r="S29" s="81">
        <v>26.2</v>
      </c>
      <c r="T29" s="81">
        <v>26.2</v>
      </c>
      <c r="U29" s="81">
        <v>19.600000000000001</v>
      </c>
      <c r="V29" s="81">
        <v>18.2</v>
      </c>
      <c r="W29" s="81">
        <v>19.3</v>
      </c>
      <c r="X29" s="81">
        <v>18.2</v>
      </c>
      <c r="Y29" s="81">
        <v>18.8</v>
      </c>
      <c r="Z29" s="81">
        <v>18.600000000000001</v>
      </c>
      <c r="AA29" s="82">
        <v>17.7</v>
      </c>
      <c r="AB29" s="82">
        <v>16.8</v>
      </c>
      <c r="AC29" s="82">
        <v>15.5</v>
      </c>
      <c r="AD29" s="82">
        <v>16.2</v>
      </c>
      <c r="AE29" s="82">
        <v>15.5</v>
      </c>
      <c r="AF29" s="82">
        <v>16.399999999999999</v>
      </c>
      <c r="AG29" s="82">
        <v>14.7</v>
      </c>
      <c r="AH29" s="82">
        <v>13.1</v>
      </c>
      <c r="AI29" s="82">
        <v>13.6</v>
      </c>
      <c r="AJ29" s="82">
        <v>12.8</v>
      </c>
      <c r="AK29" s="82">
        <v>12.7</v>
      </c>
      <c r="AL29" s="82">
        <v>13.4</v>
      </c>
      <c r="AM29" s="82">
        <v>12.4</v>
      </c>
      <c r="AN29" s="82">
        <v>12.1</v>
      </c>
      <c r="AO29" s="82">
        <v>11.3</v>
      </c>
    </row>
    <row r="30" spans="1:42 3545:3545" x14ac:dyDescent="0.35">
      <c r="A30" s="81" t="s">
        <v>13</v>
      </c>
      <c r="B30" s="185">
        <v>0</v>
      </c>
      <c r="C30" s="185">
        <v>0</v>
      </c>
      <c r="D30" s="185">
        <v>0</v>
      </c>
      <c r="E30" s="185">
        <v>0</v>
      </c>
      <c r="F30" s="185">
        <v>0</v>
      </c>
      <c r="G30" s="185">
        <v>0</v>
      </c>
      <c r="H30" s="81">
        <v>0.3</v>
      </c>
      <c r="I30" s="81">
        <v>0.3</v>
      </c>
      <c r="J30" s="81">
        <v>0.3</v>
      </c>
      <c r="K30" s="81">
        <v>0.3</v>
      </c>
      <c r="L30" s="81">
        <v>0.2</v>
      </c>
      <c r="M30" s="185">
        <v>0</v>
      </c>
      <c r="N30" s="81">
        <v>0.1</v>
      </c>
      <c r="O30" s="81">
        <v>0.2</v>
      </c>
      <c r="P30" s="185">
        <v>0.1</v>
      </c>
      <c r="Q30" s="185">
        <v>0.1</v>
      </c>
      <c r="R30" s="185">
        <v>0.1</v>
      </c>
      <c r="S30" s="185">
        <v>0.1</v>
      </c>
      <c r="T30" s="185">
        <v>0.2</v>
      </c>
      <c r="U30" s="185">
        <v>0.1</v>
      </c>
      <c r="V30" s="220" t="s">
        <v>14</v>
      </c>
      <c r="W30" s="220" t="s">
        <v>14</v>
      </c>
      <c r="X30" s="220" t="s">
        <v>14</v>
      </c>
      <c r="Y30" s="220" t="s">
        <v>14</v>
      </c>
      <c r="Z30" s="220" t="s">
        <v>14</v>
      </c>
      <c r="AA30" s="220" t="s">
        <v>14</v>
      </c>
      <c r="AB30" s="220" t="s">
        <v>14</v>
      </c>
      <c r="AC30" s="220" t="s">
        <v>14</v>
      </c>
      <c r="AD30" s="220" t="s">
        <v>14</v>
      </c>
      <c r="AE30" s="220" t="s">
        <v>14</v>
      </c>
      <c r="AF30" s="220" t="s">
        <v>14</v>
      </c>
      <c r="AG30" s="220" t="s">
        <v>14</v>
      </c>
      <c r="AH30" s="220" t="s">
        <v>14</v>
      </c>
      <c r="AI30" s="220" t="s">
        <v>14</v>
      </c>
      <c r="AJ30" s="220" t="s">
        <v>14</v>
      </c>
      <c r="AK30" s="220" t="s">
        <v>14</v>
      </c>
      <c r="AL30" s="220" t="s">
        <v>14</v>
      </c>
      <c r="AM30" s="220" t="s">
        <v>14</v>
      </c>
      <c r="AN30" s="220" t="s">
        <v>14</v>
      </c>
      <c r="AO30" s="220" t="s">
        <v>14</v>
      </c>
      <c r="AP30" s="219"/>
    </row>
    <row r="31" spans="1:42 3545:3545" x14ac:dyDescent="0.35">
      <c r="A31" s="86" t="s">
        <v>15</v>
      </c>
      <c r="B31" s="220" t="s">
        <v>14</v>
      </c>
      <c r="C31" s="220" t="s">
        <v>14</v>
      </c>
      <c r="D31" s="220" t="s">
        <v>14</v>
      </c>
      <c r="E31" s="220" t="s">
        <v>14</v>
      </c>
      <c r="F31" s="220" t="s">
        <v>14</v>
      </c>
      <c r="G31" s="220" t="s">
        <v>14</v>
      </c>
      <c r="H31" s="220" t="s">
        <v>14</v>
      </c>
      <c r="I31" s="220" t="s">
        <v>14</v>
      </c>
      <c r="J31" s="220" t="s">
        <v>14</v>
      </c>
      <c r="K31" s="220" t="s">
        <v>14</v>
      </c>
      <c r="L31" s="220" t="s">
        <v>14</v>
      </c>
      <c r="M31" s="220" t="s">
        <v>14</v>
      </c>
      <c r="N31" s="220" t="s">
        <v>14</v>
      </c>
      <c r="O31" s="220" t="s">
        <v>14</v>
      </c>
      <c r="P31" s="220" t="s">
        <v>14</v>
      </c>
      <c r="Q31" s="220" t="s">
        <v>14</v>
      </c>
      <c r="R31" s="220" t="s">
        <v>14</v>
      </c>
      <c r="S31" s="220" t="s">
        <v>14</v>
      </c>
      <c r="T31" s="220" t="s">
        <v>14</v>
      </c>
      <c r="U31" s="220" t="s">
        <v>14</v>
      </c>
      <c r="V31" s="220" t="s">
        <v>14</v>
      </c>
      <c r="W31" s="220" t="s">
        <v>14</v>
      </c>
      <c r="X31" s="220" t="s">
        <v>14</v>
      </c>
      <c r="Y31" s="220" t="s">
        <v>14</v>
      </c>
      <c r="Z31" s="220" t="s">
        <v>14</v>
      </c>
      <c r="AA31" s="220" t="s">
        <v>14</v>
      </c>
      <c r="AB31" s="220" t="s">
        <v>14</v>
      </c>
      <c r="AC31" s="220" t="s">
        <v>14</v>
      </c>
      <c r="AD31" s="220" t="s">
        <v>14</v>
      </c>
      <c r="AE31" s="220" t="s">
        <v>14</v>
      </c>
      <c r="AF31" s="220" t="s">
        <v>14</v>
      </c>
      <c r="AG31" s="220" t="s">
        <v>14</v>
      </c>
      <c r="AH31" s="220" t="s">
        <v>14</v>
      </c>
      <c r="AI31" s="220" t="s">
        <v>14</v>
      </c>
      <c r="AJ31" s="220" t="s">
        <v>14</v>
      </c>
      <c r="AK31" s="220" t="s">
        <v>14</v>
      </c>
      <c r="AL31" s="220" t="s">
        <v>14</v>
      </c>
      <c r="AM31" s="220" t="s">
        <v>14</v>
      </c>
      <c r="AN31" s="220" t="s">
        <v>14</v>
      </c>
      <c r="AO31" s="220" t="s">
        <v>14</v>
      </c>
    </row>
    <row r="32" spans="1:42 3545:3545" x14ac:dyDescent="0.35">
      <c r="A32" s="83" t="s">
        <v>117</v>
      </c>
      <c r="B32" s="173">
        <v>-72.900000000000006</v>
      </c>
      <c r="C32" s="173">
        <v>-10.7</v>
      </c>
      <c r="D32" s="173">
        <v>-10</v>
      </c>
      <c r="E32" s="173">
        <v>-9.1</v>
      </c>
      <c r="F32" s="173">
        <v>-13.3</v>
      </c>
      <c r="G32" s="173">
        <v>-6.8</v>
      </c>
      <c r="H32" s="173">
        <v>-8</v>
      </c>
      <c r="I32" s="83">
        <v>-9.1</v>
      </c>
      <c r="J32" s="83">
        <v>-40.1</v>
      </c>
      <c r="K32" s="83">
        <v>-5.9</v>
      </c>
      <c r="L32" s="83">
        <v>-6.6</v>
      </c>
      <c r="M32" s="83">
        <v>-6.5</v>
      </c>
      <c r="N32" s="83">
        <v>-9.6</v>
      </c>
      <c r="O32" s="83">
        <v>-15.6</v>
      </c>
      <c r="P32" s="83">
        <v>-3.2</v>
      </c>
      <c r="Q32" s="83">
        <v>-7.8</v>
      </c>
      <c r="R32" s="83">
        <v>-14.8</v>
      </c>
      <c r="S32" s="83">
        <v>-9.6999999999999993</v>
      </c>
      <c r="T32" s="83">
        <v>-4.7</v>
      </c>
      <c r="U32" s="83">
        <v>-6.3</v>
      </c>
      <c r="V32" s="83">
        <v>-26.2</v>
      </c>
      <c r="W32" s="83">
        <v>-5.5</v>
      </c>
      <c r="X32" s="83">
        <v>-2.9</v>
      </c>
      <c r="Y32" s="83">
        <v>-3.7</v>
      </c>
      <c r="Z32" s="83">
        <v>-7.5</v>
      </c>
      <c r="AA32" s="84">
        <v>-6.2</v>
      </c>
      <c r="AB32" s="84">
        <v>-5.7</v>
      </c>
      <c r="AC32" s="84">
        <v>-6.9</v>
      </c>
      <c r="AD32" s="84">
        <v>-7.5</v>
      </c>
      <c r="AE32" s="84">
        <v>-5.6</v>
      </c>
      <c r="AF32" s="84">
        <v>-7.8</v>
      </c>
      <c r="AG32" s="84">
        <v>-7.6</v>
      </c>
      <c r="AH32" s="84">
        <v>-6</v>
      </c>
      <c r="AI32" s="84">
        <v>-3</v>
      </c>
      <c r="AJ32" s="84">
        <v>-5.9</v>
      </c>
      <c r="AK32" s="84">
        <v>-2.6</v>
      </c>
      <c r="AL32" s="84">
        <v>-5.4</v>
      </c>
      <c r="AM32" s="84">
        <v>-3.8</v>
      </c>
      <c r="AN32" s="84">
        <v>-4.3</v>
      </c>
      <c r="AO32" s="84">
        <v>-2.1</v>
      </c>
    </row>
    <row r="33" spans="1:42" x14ac:dyDescent="0.35">
      <c r="A33" s="81" t="s">
        <v>28</v>
      </c>
      <c r="B33" s="85">
        <f t="shared" ref="B33:I33" si="20">B32/B29</f>
        <v>-0.85463071512309507</v>
      </c>
      <c r="C33" s="85">
        <f t="shared" si="20"/>
        <v>-0.12617924528301885</v>
      </c>
      <c r="D33" s="85">
        <f t="shared" si="20"/>
        <v>-0.12953367875647667</v>
      </c>
      <c r="E33" s="85">
        <f t="shared" si="20"/>
        <v>-0.13402061855670103</v>
      </c>
      <c r="F33" s="85">
        <f t="shared" si="20"/>
        <v>-0.23456790123456789</v>
      </c>
      <c r="G33" s="85">
        <f t="shared" si="20"/>
        <v>-0.11486486486486486</v>
      </c>
      <c r="H33" s="85">
        <f t="shared" si="20"/>
        <v>-0.14897579143389197</v>
      </c>
      <c r="I33" s="85">
        <f t="shared" si="20"/>
        <v>-0.19238900634249473</v>
      </c>
      <c r="J33" s="85">
        <f>J32/J29</f>
        <v>-0.92396313364055305</v>
      </c>
      <c r="K33" s="85">
        <f t="shared" ref="K33:O33" si="21">K32/K29</f>
        <v>-0.13378684807256236</v>
      </c>
      <c r="L33" s="85">
        <f t="shared" si="21"/>
        <v>-0.1542056074766355</v>
      </c>
      <c r="M33" s="85">
        <f t="shared" si="21"/>
        <v>-0.18786127167630057</v>
      </c>
      <c r="N33" s="85">
        <f t="shared" si="21"/>
        <v>-0.27988338192419826</v>
      </c>
      <c r="O33" s="85">
        <f t="shared" si="21"/>
        <v>-0.4952380952380952</v>
      </c>
      <c r="P33" s="85">
        <f>P32/P29</f>
        <v>-9.9071207430340577E-2</v>
      </c>
      <c r="Q33" s="85">
        <f t="shared" ref="Q33:W33" si="22">Q32/Q29</f>
        <v>-0.2932330827067669</v>
      </c>
      <c r="R33" s="85">
        <f t="shared" si="22"/>
        <v>-0.55018587360594806</v>
      </c>
      <c r="S33" s="85">
        <f t="shared" si="22"/>
        <v>-0.37022900763358779</v>
      </c>
      <c r="T33" s="85">
        <f t="shared" si="22"/>
        <v>-0.17938931297709926</v>
      </c>
      <c r="U33" s="85">
        <f t="shared" si="22"/>
        <v>-0.3214285714285714</v>
      </c>
      <c r="V33" s="85">
        <f t="shared" si="22"/>
        <v>-1.4395604395604396</v>
      </c>
      <c r="W33" s="85">
        <f t="shared" si="22"/>
        <v>-0.28497409326424872</v>
      </c>
      <c r="X33" s="85">
        <f t="shared" ref="X33:AD33" si="23">X32/X29</f>
        <v>-0.15934065934065933</v>
      </c>
      <c r="Y33" s="85">
        <f t="shared" si="23"/>
        <v>-0.19680851063829788</v>
      </c>
      <c r="Z33" s="85">
        <f t="shared" si="23"/>
        <v>-0.40322580645161288</v>
      </c>
      <c r="AA33" s="85">
        <f t="shared" si="23"/>
        <v>-0.35028248587570626</v>
      </c>
      <c r="AB33" s="85">
        <f t="shared" si="23"/>
        <v>-0.3392857142857143</v>
      </c>
      <c r="AC33" s="85">
        <f t="shared" si="23"/>
        <v>-0.44516129032258067</v>
      </c>
      <c r="AD33" s="85">
        <f t="shared" si="23"/>
        <v>-0.46296296296296297</v>
      </c>
      <c r="AE33" s="85">
        <f t="shared" ref="AE33:AO33" si="24">AE32/AE29</f>
        <v>-0.36129032258064514</v>
      </c>
      <c r="AF33" s="85">
        <f t="shared" si="24"/>
        <v>-0.47560975609756101</v>
      </c>
      <c r="AG33" s="85">
        <f t="shared" si="24"/>
        <v>-0.51700680272108845</v>
      </c>
      <c r="AH33" s="85">
        <f t="shared" si="24"/>
        <v>-0.4580152671755725</v>
      </c>
      <c r="AI33" s="85">
        <f t="shared" si="24"/>
        <v>-0.22058823529411764</v>
      </c>
      <c r="AJ33" s="85">
        <f t="shared" si="24"/>
        <v>-0.4609375</v>
      </c>
      <c r="AK33" s="85">
        <f t="shared" si="24"/>
        <v>-0.20472440944881892</v>
      </c>
      <c r="AL33" s="85">
        <f t="shared" si="24"/>
        <v>-0.40298507462686567</v>
      </c>
      <c r="AM33" s="85">
        <f t="shared" si="24"/>
        <v>-0.30645161290322576</v>
      </c>
      <c r="AN33" s="85">
        <f t="shared" si="24"/>
        <v>-0.35537190082644626</v>
      </c>
      <c r="AO33" s="85">
        <f t="shared" si="24"/>
        <v>-0.18584070796460175</v>
      </c>
    </row>
    <row r="34" spans="1:42" x14ac:dyDescent="0.35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</row>
    <row r="35" spans="1:42" ht="15" thickBot="1" x14ac:dyDescent="0.4">
      <c r="A35" s="79" t="s">
        <v>118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80" t="s">
        <v>62</v>
      </c>
      <c r="R35" s="80" t="s">
        <v>65</v>
      </c>
      <c r="S35" s="80" t="s">
        <v>66</v>
      </c>
      <c r="T35" s="80" t="s">
        <v>61</v>
      </c>
      <c r="U35" s="80" t="s">
        <v>62</v>
      </c>
      <c r="V35" s="80" t="str">
        <f>V5</f>
        <v>Q4</v>
      </c>
      <c r="W35" s="80" t="s">
        <v>66</v>
      </c>
      <c r="X35" s="80" t="s">
        <v>61</v>
      </c>
      <c r="Y35" s="80" t="s">
        <v>62</v>
      </c>
      <c r="Z35" s="80" t="s">
        <v>65</v>
      </c>
      <c r="AA35" s="80" t="str">
        <f>AA5</f>
        <v>Q3</v>
      </c>
      <c r="AB35" s="80" t="str">
        <f>AB5</f>
        <v>Q2</v>
      </c>
      <c r="AC35" s="80" t="str">
        <f>AC5</f>
        <v>Q1</v>
      </c>
      <c r="AD35" s="80" t="s">
        <v>65</v>
      </c>
      <c r="AE35" s="80" t="s">
        <v>66</v>
      </c>
      <c r="AF35" s="80" t="s">
        <v>61</v>
      </c>
      <c r="AG35" s="80" t="s">
        <v>62</v>
      </c>
      <c r="AH35" s="80" t="s">
        <v>65</v>
      </c>
      <c r="AI35" s="80" t="s">
        <v>66</v>
      </c>
      <c r="AJ35" s="80" t="s">
        <v>61</v>
      </c>
      <c r="AK35" s="80" t="s">
        <v>62</v>
      </c>
      <c r="AL35" s="80" t="s">
        <v>65</v>
      </c>
      <c r="AM35" s="80" t="s">
        <v>66</v>
      </c>
      <c r="AN35" s="80" t="s">
        <v>61</v>
      </c>
      <c r="AO35" s="80" t="s">
        <v>62</v>
      </c>
    </row>
    <row r="36" spans="1:42" x14ac:dyDescent="0.35">
      <c r="A36" s="81" t="s">
        <v>119</v>
      </c>
      <c r="B36" s="185">
        <v>-100.9</v>
      </c>
      <c r="C36" s="185">
        <v>-105.5</v>
      </c>
      <c r="D36" s="185">
        <v>-102.6</v>
      </c>
      <c r="E36" s="185">
        <v>-82</v>
      </c>
      <c r="F36" s="185">
        <v>-78.8</v>
      </c>
      <c r="G36" s="185">
        <v>-70.5</v>
      </c>
      <c r="H36" s="185">
        <v>-65</v>
      </c>
      <c r="I36" s="81">
        <v>-58.5</v>
      </c>
      <c r="J36" s="81">
        <v>-56.1</v>
      </c>
      <c r="K36" s="81">
        <v>-57.9</v>
      </c>
      <c r="L36" s="81">
        <v>-53.6</v>
      </c>
      <c r="M36" s="81">
        <v>-42.5</v>
      </c>
      <c r="N36" s="81">
        <v>-45.9</v>
      </c>
      <c r="O36" s="81">
        <v>-42.2</v>
      </c>
      <c r="P36" s="81">
        <v>-40.299999999999997</v>
      </c>
      <c r="Q36" s="81">
        <v>-32.6</v>
      </c>
      <c r="R36" s="81">
        <v>-34.1</v>
      </c>
      <c r="S36" s="172">
        <v>-32</v>
      </c>
      <c r="T36" s="81">
        <v>-34.799999999999997</v>
      </c>
      <c r="U36" s="81">
        <v>-27.3</v>
      </c>
      <c r="V36" s="81">
        <v>-26.4</v>
      </c>
      <c r="W36" s="81">
        <v>-26.3</v>
      </c>
      <c r="X36" s="81">
        <v>-24.4</v>
      </c>
      <c r="Y36" s="81">
        <v>-26.1</v>
      </c>
      <c r="Z36" s="81">
        <v>-32.5</v>
      </c>
      <c r="AA36" s="90">
        <v>-26.5</v>
      </c>
      <c r="AB36" s="90">
        <v>-21.8</v>
      </c>
      <c r="AC36" s="90">
        <v>-22.4</v>
      </c>
      <c r="AD36" s="90">
        <v>-18.600000000000001</v>
      </c>
      <c r="AE36" s="90">
        <v>-19.3</v>
      </c>
      <c r="AF36" s="90">
        <v>-17.600000000000001</v>
      </c>
      <c r="AG36" s="90">
        <f>-18-1.3</f>
        <v>-19.3</v>
      </c>
      <c r="AH36" s="90">
        <v>-36.200000000000003</v>
      </c>
      <c r="AI36" s="90">
        <v>-18.899999999999999</v>
      </c>
      <c r="AJ36" s="90">
        <v>-15.4</v>
      </c>
      <c r="AK36" s="90">
        <v>-18</v>
      </c>
      <c r="AL36" s="90">
        <v>-17.5</v>
      </c>
      <c r="AM36" s="90">
        <v>-17.5</v>
      </c>
      <c r="AN36" s="90">
        <v>-17</v>
      </c>
      <c r="AO36" s="90">
        <v>-13.8</v>
      </c>
    </row>
    <row r="37" spans="1:42" x14ac:dyDescent="0.35">
      <c r="A37" s="81" t="s">
        <v>112</v>
      </c>
      <c r="B37" s="185">
        <v>5.3</v>
      </c>
      <c r="C37" s="185">
        <v>-0.5</v>
      </c>
      <c r="D37" s="185">
        <v>4.3</v>
      </c>
      <c r="E37" s="185">
        <v>1.8</v>
      </c>
      <c r="F37" s="185">
        <v>2.6</v>
      </c>
      <c r="G37" s="185">
        <v>3.2</v>
      </c>
      <c r="H37" s="185">
        <v>-1.4</v>
      </c>
      <c r="I37" s="185">
        <v>4.0999999999999996</v>
      </c>
      <c r="J37" s="185">
        <v>0</v>
      </c>
      <c r="K37" s="185">
        <v>0.1</v>
      </c>
      <c r="L37" s="185">
        <v>0</v>
      </c>
      <c r="M37" s="81">
        <v>-0.1</v>
      </c>
      <c r="N37" s="185">
        <v>-0.1</v>
      </c>
      <c r="O37" s="185">
        <v>0</v>
      </c>
      <c r="P37" s="81">
        <v>0.1</v>
      </c>
      <c r="Q37" s="81">
        <v>0.1</v>
      </c>
      <c r="R37" s="81">
        <v>-0.2</v>
      </c>
      <c r="S37" s="81">
        <v>-0.1</v>
      </c>
      <c r="T37" s="185">
        <v>0</v>
      </c>
      <c r="U37" s="185">
        <v>0</v>
      </c>
      <c r="V37" s="81">
        <v>-0.1</v>
      </c>
      <c r="W37" s="81">
        <v>0.1</v>
      </c>
      <c r="X37" s="81">
        <v>-0.1</v>
      </c>
      <c r="Y37" s="81">
        <v>0.1</v>
      </c>
      <c r="Z37" s="81">
        <v>-12.7</v>
      </c>
      <c r="AA37" s="91">
        <v>-0.5</v>
      </c>
      <c r="AB37" s="91">
        <v>6.1</v>
      </c>
      <c r="AC37" s="91">
        <v>-4.5</v>
      </c>
      <c r="AD37" s="91">
        <v>0.3</v>
      </c>
      <c r="AE37" s="91">
        <v>2.7</v>
      </c>
      <c r="AF37" s="91">
        <v>4.2</v>
      </c>
      <c r="AG37" s="91">
        <v>-1.1000000000000001</v>
      </c>
      <c r="AH37" s="91">
        <v>-7.2</v>
      </c>
      <c r="AI37" s="91">
        <v>-2.4</v>
      </c>
      <c r="AJ37" s="91">
        <v>6.4</v>
      </c>
      <c r="AK37" s="91">
        <v>1.8</v>
      </c>
      <c r="AL37" s="91">
        <v>-3.1</v>
      </c>
      <c r="AM37" s="91">
        <v>-1.7</v>
      </c>
      <c r="AN37" s="91">
        <v>-6</v>
      </c>
      <c r="AO37" s="91">
        <v>4.0999999999999996</v>
      </c>
    </row>
    <row r="38" spans="1:42" x14ac:dyDescent="0.35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</row>
    <row r="39" spans="1:42" ht="15" thickBot="1" x14ac:dyDescent="0.4">
      <c r="A39" s="79" t="s">
        <v>120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226"/>
    </row>
    <row r="40" spans="1:42" x14ac:dyDescent="0.35">
      <c r="A40" s="224" t="s">
        <v>121</v>
      </c>
      <c r="B40" s="225">
        <f t="shared" ref="B40:C40" si="25">B6+B13+B22+B29+B36</f>
        <v>1033.1999999999998</v>
      </c>
      <c r="C40" s="225">
        <f t="shared" si="25"/>
        <v>891.99999999999989</v>
      </c>
      <c r="D40" s="225">
        <f>D6+D13+D22+D29+D36</f>
        <v>850.59999999999991</v>
      </c>
      <c r="E40" s="225">
        <f t="shared" ref="E40" si="26">E6+E13+E22+E29+E36</f>
        <v>765.9</v>
      </c>
      <c r="F40" s="225">
        <f>F6+F13+F22+F29+F36</f>
        <v>914.1</v>
      </c>
      <c r="G40" s="225">
        <f t="shared" ref="G40:H40" si="27">G6+G13+G22+G29+G36</f>
        <v>848.4</v>
      </c>
      <c r="H40" s="225">
        <f t="shared" si="27"/>
        <v>753.5</v>
      </c>
      <c r="I40" s="225">
        <f t="shared" ref="I40:J40" si="28">I6+I13+I22+I29+I36</f>
        <v>723.8</v>
      </c>
      <c r="J40" s="225">
        <f t="shared" si="28"/>
        <v>898.1</v>
      </c>
      <c r="K40" s="225">
        <f>K6+K13+K22+K29+K36</f>
        <v>694</v>
      </c>
      <c r="L40" s="225">
        <f t="shared" ref="L40:O40" si="29">L6+L13+L22+L29+L36</f>
        <v>787.69999999999993</v>
      </c>
      <c r="M40" s="225">
        <f t="shared" si="29"/>
        <v>583.70000000000005</v>
      </c>
      <c r="N40" s="225">
        <f t="shared" si="29"/>
        <v>724.7</v>
      </c>
      <c r="O40" s="225">
        <f t="shared" si="29"/>
        <v>580.29999999999984</v>
      </c>
      <c r="P40" s="225">
        <f t="shared" ref="P40:AO40" si="30">P6+P13+P22+P29+P36</f>
        <v>561.70000000000005</v>
      </c>
      <c r="Q40" s="225">
        <f t="shared" si="30"/>
        <v>484.1</v>
      </c>
      <c r="R40" s="225">
        <f t="shared" si="30"/>
        <v>649</v>
      </c>
      <c r="S40" s="225">
        <f t="shared" si="30"/>
        <v>476.2</v>
      </c>
      <c r="T40" s="225">
        <f t="shared" si="30"/>
        <v>418.19999999999993</v>
      </c>
      <c r="U40" s="225">
        <f t="shared" si="30"/>
        <v>405.70000000000005</v>
      </c>
      <c r="V40" s="225">
        <f t="shared" si="30"/>
        <v>526.20000000000005</v>
      </c>
      <c r="W40" s="225">
        <f t="shared" si="30"/>
        <v>394.2</v>
      </c>
      <c r="X40" s="225">
        <f t="shared" si="30"/>
        <v>413.20000000000005</v>
      </c>
      <c r="Y40" s="225">
        <f t="shared" si="30"/>
        <v>298.90000000000003</v>
      </c>
      <c r="Z40" s="225">
        <f t="shared" si="30"/>
        <v>507.6</v>
      </c>
      <c r="AA40" s="225">
        <f t="shared" si="30"/>
        <v>457.40000000000003</v>
      </c>
      <c r="AB40" s="225">
        <f t="shared" si="30"/>
        <v>363.3</v>
      </c>
      <c r="AC40" s="225">
        <f t="shared" si="30"/>
        <v>332.8</v>
      </c>
      <c r="AD40" s="225">
        <f t="shared" si="30"/>
        <v>474.09999999999997</v>
      </c>
      <c r="AE40" s="225">
        <f t="shared" si="30"/>
        <v>329.49999999999994</v>
      </c>
      <c r="AF40" s="225">
        <f t="shared" si="30"/>
        <v>316.2</v>
      </c>
      <c r="AG40" s="225">
        <f t="shared" si="30"/>
        <v>293.7</v>
      </c>
      <c r="AH40" s="225">
        <f t="shared" si="30"/>
        <v>357.1</v>
      </c>
      <c r="AI40" s="225">
        <f t="shared" si="30"/>
        <v>285.5</v>
      </c>
      <c r="AJ40" s="225">
        <f t="shared" si="30"/>
        <v>298.50000000000006</v>
      </c>
      <c r="AK40" s="225">
        <f t="shared" si="30"/>
        <v>268.09999999999997</v>
      </c>
      <c r="AL40" s="225">
        <f t="shared" si="30"/>
        <v>330.59999999999997</v>
      </c>
      <c r="AM40" s="225">
        <f t="shared" si="30"/>
        <v>282.39999999999998</v>
      </c>
      <c r="AN40" s="225">
        <f t="shared" si="30"/>
        <v>271.2</v>
      </c>
      <c r="AO40" s="225">
        <f t="shared" si="30"/>
        <v>240.8</v>
      </c>
    </row>
    <row r="41" spans="1:42" ht="15" customHeight="1" x14ac:dyDescent="0.35">
      <c r="A41" s="222" t="s">
        <v>13</v>
      </c>
      <c r="B41" s="223">
        <f t="shared" ref="B41" si="31">B7+B14+B23+B30</f>
        <v>682.2</v>
      </c>
      <c r="C41" s="223">
        <f>C7+C14+C23+C30</f>
        <v>631.99999999999989</v>
      </c>
      <c r="D41" s="223">
        <f>D7+D14+D23+D30-0.1</f>
        <v>587.90000000000009</v>
      </c>
      <c r="E41" s="223">
        <f>E7+E14+E23+E30</f>
        <v>549.19999999999993</v>
      </c>
      <c r="F41" s="223">
        <f>F7+F14+F23+F30+0.1</f>
        <v>574.6</v>
      </c>
      <c r="G41" s="223">
        <f>G7+G14+G23+G30+0.1</f>
        <v>525.80000000000007</v>
      </c>
      <c r="H41" s="223">
        <f t="shared" ref="H41" si="32">H7+H14+H23+H30</f>
        <v>484.6</v>
      </c>
      <c r="I41" s="223">
        <f t="shared" ref="I41:J41" si="33">I7+I14+I23+I30</f>
        <v>482.3</v>
      </c>
      <c r="J41" s="223">
        <f t="shared" si="33"/>
        <v>463.6</v>
      </c>
      <c r="K41" s="223">
        <f>K7+K14+K23+K30</f>
        <v>434.70000000000005</v>
      </c>
      <c r="L41" s="223">
        <f>L7+L14+L23+L30</f>
        <v>429.6</v>
      </c>
      <c r="M41" s="223">
        <f>M7+M14+M23+M30</f>
        <v>397.2</v>
      </c>
      <c r="N41" s="223">
        <f t="shared" ref="N41" si="34">N7+N14+N23+N30-0.1</f>
        <v>376.59999999999997</v>
      </c>
      <c r="O41" s="223">
        <f>O7+O14+O23+O30-0.1</f>
        <v>356.4</v>
      </c>
      <c r="P41" s="223">
        <f>P7+P14+P23+P30+0.1</f>
        <v>316.39999999999998</v>
      </c>
      <c r="Q41" s="223">
        <f>Q7+Q14+Q23+Q30+0.1</f>
        <v>310.40000000000003</v>
      </c>
      <c r="R41" s="223">
        <f>R7+R14+R23+R30+0.1</f>
        <v>280.80000000000007</v>
      </c>
      <c r="S41" s="223">
        <f t="shared" ref="S41:U41" si="35">S7+S14+S23+S30</f>
        <v>275.20000000000005</v>
      </c>
      <c r="T41" s="223">
        <f>T7+T14+T23+T30-0.1</f>
        <v>272.39999999999998</v>
      </c>
      <c r="U41" s="223">
        <f t="shared" si="35"/>
        <v>253</v>
      </c>
      <c r="V41" s="231" t="s">
        <v>14</v>
      </c>
      <c r="W41" s="231" t="s">
        <v>14</v>
      </c>
      <c r="X41" s="231" t="s">
        <v>14</v>
      </c>
      <c r="Y41" s="231" t="s">
        <v>14</v>
      </c>
      <c r="Z41" s="231" t="s">
        <v>14</v>
      </c>
      <c r="AA41" s="231" t="s">
        <v>14</v>
      </c>
      <c r="AB41" s="231" t="s">
        <v>14</v>
      </c>
      <c r="AC41" s="231" t="s">
        <v>14</v>
      </c>
      <c r="AD41" s="231" t="s">
        <v>14</v>
      </c>
      <c r="AE41" s="231" t="s">
        <v>14</v>
      </c>
      <c r="AF41" s="231" t="s">
        <v>14</v>
      </c>
      <c r="AG41" s="231" t="s">
        <v>14</v>
      </c>
      <c r="AH41" s="231" t="s">
        <v>14</v>
      </c>
      <c r="AI41" s="231" t="s">
        <v>14</v>
      </c>
      <c r="AJ41" s="231" t="s">
        <v>14</v>
      </c>
      <c r="AK41" s="231" t="s">
        <v>14</v>
      </c>
      <c r="AL41" s="231" t="s">
        <v>14</v>
      </c>
      <c r="AM41" s="231" t="s">
        <v>14</v>
      </c>
      <c r="AN41" s="231" t="s">
        <v>14</v>
      </c>
      <c r="AO41" s="231" t="s">
        <v>14</v>
      </c>
      <c r="AP41" s="219"/>
    </row>
    <row r="42" spans="1:42" x14ac:dyDescent="0.35">
      <c r="A42" s="221" t="s">
        <v>15</v>
      </c>
      <c r="B42" s="136">
        <f>B8+B24+0.1</f>
        <v>274.70000000000005</v>
      </c>
      <c r="C42" s="136">
        <f>C8+C24</f>
        <v>249.5</v>
      </c>
      <c r="D42" s="136">
        <f>D8+D24-0.1</f>
        <v>212.20000000000002</v>
      </c>
      <c r="E42" s="136">
        <f>E8+E24</f>
        <v>179.39999999999998</v>
      </c>
      <c r="F42" s="136">
        <f t="shared" ref="F42" si="36">F8+F24</f>
        <v>184.1</v>
      </c>
      <c r="G42" s="136">
        <f t="shared" ref="G42:H42" si="37">G8+G24</f>
        <v>162.79999999999998</v>
      </c>
      <c r="H42" s="136">
        <f t="shared" si="37"/>
        <v>121.3</v>
      </c>
      <c r="I42" s="136">
        <f t="shared" ref="I42:J42" si="38">I8+I24</f>
        <v>122.8</v>
      </c>
      <c r="J42" s="136">
        <f t="shared" si="38"/>
        <v>113.8</v>
      </c>
      <c r="K42" s="136">
        <f>K8+K24</f>
        <v>103.30000000000001</v>
      </c>
      <c r="L42" s="136">
        <f t="shared" ref="L42:O42" si="39">L8+L24</f>
        <v>93.4</v>
      </c>
      <c r="M42" s="136">
        <f t="shared" si="39"/>
        <v>86.4</v>
      </c>
      <c r="N42" s="136">
        <f t="shared" si="39"/>
        <v>72.900000000000006</v>
      </c>
      <c r="O42" s="136">
        <f t="shared" si="39"/>
        <v>72.100000000000009</v>
      </c>
      <c r="P42" s="136">
        <f>P8+P24</f>
        <v>59.6</v>
      </c>
      <c r="Q42" s="136">
        <f>Q8+Q24+0.1</f>
        <v>50.000000000000007</v>
      </c>
      <c r="R42" s="136">
        <f>R8+R15+R24+0.1</f>
        <v>50.500000000000007</v>
      </c>
      <c r="S42" s="136">
        <f t="shared" ref="S42:U42" si="40">S8+S24</f>
        <v>46.4</v>
      </c>
      <c r="T42" s="136">
        <f>T8+T24-0.1</f>
        <v>42.599999999999994</v>
      </c>
      <c r="U42" s="136">
        <f t="shared" si="40"/>
        <v>41.900000000000006</v>
      </c>
      <c r="V42" s="232" t="s">
        <v>14</v>
      </c>
      <c r="W42" s="232" t="s">
        <v>14</v>
      </c>
      <c r="X42" s="232" t="s">
        <v>14</v>
      </c>
      <c r="Y42" s="232" t="s">
        <v>14</v>
      </c>
      <c r="Z42" s="232" t="s">
        <v>14</v>
      </c>
      <c r="AA42" s="232" t="s">
        <v>14</v>
      </c>
      <c r="AB42" s="232" t="s">
        <v>14</v>
      </c>
      <c r="AC42" s="232" t="s">
        <v>14</v>
      </c>
      <c r="AD42" s="232" t="s">
        <v>14</v>
      </c>
      <c r="AE42" s="232" t="s">
        <v>14</v>
      </c>
      <c r="AF42" s="232" t="s">
        <v>14</v>
      </c>
      <c r="AG42" s="232" t="s">
        <v>14</v>
      </c>
      <c r="AH42" s="232" t="s">
        <v>14</v>
      </c>
      <c r="AI42" s="232" t="s">
        <v>14</v>
      </c>
      <c r="AJ42" s="232" t="s">
        <v>14</v>
      </c>
      <c r="AK42" s="232" t="s">
        <v>14</v>
      </c>
      <c r="AL42" s="232" t="s">
        <v>14</v>
      </c>
      <c r="AM42" s="232" t="s">
        <v>14</v>
      </c>
      <c r="AN42" s="232" t="s">
        <v>14</v>
      </c>
      <c r="AO42" s="232" t="s">
        <v>14</v>
      </c>
    </row>
    <row r="43" spans="1:42" x14ac:dyDescent="0.35">
      <c r="A43" s="244" t="s">
        <v>122</v>
      </c>
      <c r="B43" s="245">
        <f>B9+B16+B25+B32+B37</f>
        <v>209.1</v>
      </c>
      <c r="C43" s="245">
        <f t="shared" ref="C43" si="41">C9+C16+C25+C32+C37</f>
        <v>194.1</v>
      </c>
      <c r="D43" s="245">
        <f>D9+D16+D25+D32+D37</f>
        <v>188.60000000000002</v>
      </c>
      <c r="E43" s="245">
        <f t="shared" ref="E43" si="42">E9+E16+E25+E32+E37</f>
        <v>118.8</v>
      </c>
      <c r="F43" s="245">
        <f>F9+F16+F25+F32+F37</f>
        <v>198.89999999999998</v>
      </c>
      <c r="G43" s="245">
        <f>G9+G16+G25+G32+G37</f>
        <v>314.7</v>
      </c>
      <c r="H43" s="245">
        <f t="shared" ref="H43" si="43">H9+H16+H25+H32+H37</f>
        <v>109.6</v>
      </c>
      <c r="I43" s="245">
        <f t="shared" ref="I43:J43" si="44">I9+I16+I25+I32+I37</f>
        <v>99.8</v>
      </c>
      <c r="J43" s="245">
        <f t="shared" si="44"/>
        <v>197.4</v>
      </c>
      <c r="K43" s="245">
        <f>K9+K16+K25+K32+K37</f>
        <v>74.399999999999991</v>
      </c>
      <c r="L43" s="245">
        <f t="shared" ref="L43:O43" si="45">L9+L16+L25+L32+L37</f>
        <v>176.70000000000002</v>
      </c>
      <c r="M43" s="245">
        <f t="shared" si="45"/>
        <v>69.3</v>
      </c>
      <c r="N43" s="245">
        <f t="shared" si="45"/>
        <v>196.8</v>
      </c>
      <c r="O43" s="245">
        <f t="shared" si="45"/>
        <v>87</v>
      </c>
      <c r="P43" s="245">
        <f t="shared" ref="P43:AO43" si="46">P9+P16+P25+P32+P37</f>
        <v>107.59999999999998</v>
      </c>
      <c r="Q43" s="245">
        <f t="shared" si="46"/>
        <v>64.400000000000006</v>
      </c>
      <c r="R43" s="245">
        <f t="shared" si="46"/>
        <v>141.1</v>
      </c>
      <c r="S43" s="245">
        <f t="shared" si="46"/>
        <v>68.399999999999991</v>
      </c>
      <c r="T43" s="245">
        <f t="shared" si="46"/>
        <v>83.7</v>
      </c>
      <c r="U43" s="245">
        <f t="shared" si="46"/>
        <v>90.1</v>
      </c>
      <c r="V43" s="245">
        <f t="shared" si="46"/>
        <v>163.90000000000003</v>
      </c>
      <c r="W43" s="245">
        <f t="shared" si="46"/>
        <v>69.099999999999994</v>
      </c>
      <c r="X43" s="245">
        <f t="shared" si="46"/>
        <v>89.600000000000009</v>
      </c>
      <c r="Y43" s="245">
        <f t="shared" si="46"/>
        <v>27.400000000000002</v>
      </c>
      <c r="Z43" s="245">
        <f t="shared" si="46"/>
        <v>123.59999999999998</v>
      </c>
      <c r="AA43" s="245">
        <f t="shared" si="46"/>
        <v>99.7</v>
      </c>
      <c r="AB43" s="245">
        <f t="shared" si="46"/>
        <v>42.7</v>
      </c>
      <c r="AC43" s="245">
        <f t="shared" si="46"/>
        <v>29.4</v>
      </c>
      <c r="AD43" s="245">
        <f t="shared" si="46"/>
        <v>104.69999999999999</v>
      </c>
      <c r="AE43" s="245">
        <f t="shared" si="46"/>
        <v>50.2</v>
      </c>
      <c r="AF43" s="245">
        <f t="shared" si="46"/>
        <v>45.000000000000007</v>
      </c>
      <c r="AG43" s="245">
        <f t="shared" si="46"/>
        <v>35.599999999999994</v>
      </c>
      <c r="AH43" s="245">
        <f t="shared" si="46"/>
        <v>90.699999999999989</v>
      </c>
      <c r="AI43" s="245">
        <f t="shared" si="46"/>
        <v>39.200000000000003</v>
      </c>
      <c r="AJ43" s="245">
        <f t="shared" si="46"/>
        <v>48</v>
      </c>
      <c r="AK43" s="245">
        <f t="shared" si="46"/>
        <v>36.4</v>
      </c>
      <c r="AL43" s="245">
        <f t="shared" si="46"/>
        <v>79.900000000000006</v>
      </c>
      <c r="AM43" s="245">
        <f t="shared" si="46"/>
        <v>40.099999999999994</v>
      </c>
      <c r="AN43" s="245">
        <f t="shared" si="46"/>
        <v>47</v>
      </c>
      <c r="AO43" s="245">
        <f t="shared" si="46"/>
        <v>27.999999999999993</v>
      </c>
    </row>
    <row r="44" spans="1:42" x14ac:dyDescent="0.35">
      <c r="A44" s="246" t="s">
        <v>123</v>
      </c>
      <c r="B44" s="247">
        <f>B9+B17+B25+B32+B37</f>
        <v>209.1</v>
      </c>
      <c r="C44" s="247">
        <f t="shared" ref="C44" si="47">C9+C17+C25+C32+C37</f>
        <v>194.1</v>
      </c>
      <c r="D44" s="247">
        <f>D9+D17+D25+D32+D37</f>
        <v>188.60000000000002</v>
      </c>
      <c r="E44" s="247">
        <f t="shared" ref="E44:F44" si="48">E9+E17+E25+E32+E37</f>
        <v>118.8</v>
      </c>
      <c r="F44" s="247">
        <f t="shared" si="48"/>
        <v>198.89999999999998</v>
      </c>
      <c r="G44" s="247">
        <f>G9+G17+G25+G32+G37</f>
        <v>204.7</v>
      </c>
      <c r="H44" s="247">
        <f>H43</f>
        <v>109.6</v>
      </c>
      <c r="I44" s="247">
        <f t="shared" ref="I44:AO44" si="49">I43</f>
        <v>99.8</v>
      </c>
      <c r="J44" s="247">
        <f t="shared" si="49"/>
        <v>197.4</v>
      </c>
      <c r="K44" s="247">
        <f t="shared" si="49"/>
        <v>74.399999999999991</v>
      </c>
      <c r="L44" s="247">
        <f t="shared" si="49"/>
        <v>176.70000000000002</v>
      </c>
      <c r="M44" s="247">
        <f t="shared" si="49"/>
        <v>69.3</v>
      </c>
      <c r="N44" s="247">
        <f t="shared" si="49"/>
        <v>196.8</v>
      </c>
      <c r="O44" s="247">
        <f t="shared" si="49"/>
        <v>87</v>
      </c>
      <c r="P44" s="247">
        <f t="shared" si="49"/>
        <v>107.59999999999998</v>
      </c>
      <c r="Q44" s="247">
        <f t="shared" si="49"/>
        <v>64.400000000000006</v>
      </c>
      <c r="R44" s="247">
        <f t="shared" si="49"/>
        <v>141.1</v>
      </c>
      <c r="S44" s="247">
        <f t="shared" si="49"/>
        <v>68.399999999999991</v>
      </c>
      <c r="T44" s="247">
        <f t="shared" si="49"/>
        <v>83.7</v>
      </c>
      <c r="U44" s="247">
        <f t="shared" si="49"/>
        <v>90.1</v>
      </c>
      <c r="V44" s="247">
        <f t="shared" si="49"/>
        <v>163.90000000000003</v>
      </c>
      <c r="W44" s="247">
        <f t="shared" si="49"/>
        <v>69.099999999999994</v>
      </c>
      <c r="X44" s="247">
        <f t="shared" si="49"/>
        <v>89.600000000000009</v>
      </c>
      <c r="Y44" s="247">
        <f t="shared" si="49"/>
        <v>27.400000000000002</v>
      </c>
      <c r="Z44" s="247">
        <f t="shared" si="49"/>
        <v>123.59999999999998</v>
      </c>
      <c r="AA44" s="247">
        <f t="shared" si="49"/>
        <v>99.7</v>
      </c>
      <c r="AB44" s="247">
        <f t="shared" si="49"/>
        <v>42.7</v>
      </c>
      <c r="AC44" s="247">
        <f t="shared" si="49"/>
        <v>29.4</v>
      </c>
      <c r="AD44" s="247">
        <f t="shared" si="49"/>
        <v>104.69999999999999</v>
      </c>
      <c r="AE44" s="247">
        <f t="shared" si="49"/>
        <v>50.2</v>
      </c>
      <c r="AF44" s="247">
        <f t="shared" si="49"/>
        <v>45.000000000000007</v>
      </c>
      <c r="AG44" s="247">
        <f t="shared" si="49"/>
        <v>35.599999999999994</v>
      </c>
      <c r="AH44" s="247">
        <f t="shared" si="49"/>
        <v>90.699999999999989</v>
      </c>
      <c r="AI44" s="247">
        <f t="shared" si="49"/>
        <v>39.200000000000003</v>
      </c>
      <c r="AJ44" s="247">
        <f t="shared" si="49"/>
        <v>48</v>
      </c>
      <c r="AK44" s="247">
        <f t="shared" si="49"/>
        <v>36.4</v>
      </c>
      <c r="AL44" s="247">
        <f t="shared" si="49"/>
        <v>79.900000000000006</v>
      </c>
      <c r="AM44" s="247">
        <f t="shared" si="49"/>
        <v>40.099999999999994</v>
      </c>
      <c r="AN44" s="247">
        <f t="shared" si="49"/>
        <v>47</v>
      </c>
      <c r="AO44" s="247">
        <f t="shared" si="49"/>
        <v>27.999999999999993</v>
      </c>
      <c r="AP44" s="242"/>
    </row>
  </sheetData>
  <phoneticPr fontId="45" type="noConversion"/>
  <pageMargins left="0.51181102362204722" right="0.51181102362204722" top="0.74803149606299213" bottom="0.74803149606299213" header="0.31496062992125984" footer="0.31496062992125984"/>
  <pageSetup paperSize="9" orientation="landscape" r:id="rId1"/>
  <ignoredErrors>
    <ignoredError sqref="P41 T41:T42 Q4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9D72-95F1-401D-A03C-268689103E60}">
  <dimension ref="A1:AU13"/>
  <sheetViews>
    <sheetView zoomScaleNormal="100" workbookViewId="0">
      <selection activeCell="B1" sqref="B1"/>
    </sheetView>
  </sheetViews>
  <sheetFormatPr defaultRowHeight="14.5" x14ac:dyDescent="0.35"/>
  <cols>
    <col min="1" max="1" width="23.54296875" customWidth="1"/>
    <col min="2" max="2" width="9.7265625" customWidth="1"/>
    <col min="3" max="41" width="9.54296875" customWidth="1"/>
  </cols>
  <sheetData>
    <row r="1" spans="1:47" x14ac:dyDescent="0.35">
      <c r="A1" s="92" t="s">
        <v>124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</row>
    <row r="2" spans="1:47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</row>
    <row r="3" spans="1:47" s="30" customFormat="1" ht="11.5" x14ac:dyDescent="0.25">
      <c r="A3" s="152" t="s">
        <v>58</v>
      </c>
      <c r="B3" s="153" t="s">
        <v>59</v>
      </c>
      <c r="C3" s="153" t="s">
        <v>59</v>
      </c>
      <c r="D3" s="153" t="s">
        <v>59</v>
      </c>
      <c r="E3" s="153" t="s">
        <v>59</v>
      </c>
      <c r="F3" s="153" t="s">
        <v>2</v>
      </c>
      <c r="G3" s="153" t="s">
        <v>2</v>
      </c>
      <c r="H3" s="153" t="s">
        <v>2</v>
      </c>
      <c r="I3" s="153" t="s">
        <v>2</v>
      </c>
      <c r="J3" s="153" t="s">
        <v>3</v>
      </c>
      <c r="K3" s="153" t="s">
        <v>3</v>
      </c>
      <c r="L3" s="153" t="s">
        <v>3</v>
      </c>
      <c r="M3" s="153" t="s">
        <v>3</v>
      </c>
      <c r="N3" s="153" t="s">
        <v>4</v>
      </c>
      <c r="O3" s="153" t="s">
        <v>4</v>
      </c>
      <c r="P3" s="153" t="s">
        <v>4</v>
      </c>
      <c r="Q3" s="153" t="s">
        <v>4</v>
      </c>
      <c r="R3" s="153" t="s">
        <v>5</v>
      </c>
      <c r="S3" s="153" t="s">
        <v>5</v>
      </c>
      <c r="T3" s="153" t="s">
        <v>5</v>
      </c>
      <c r="U3" s="153" t="s">
        <v>5</v>
      </c>
      <c r="V3" s="153" t="s">
        <v>6</v>
      </c>
      <c r="W3" s="153" t="s">
        <v>6</v>
      </c>
      <c r="X3" s="153" t="s">
        <v>6</v>
      </c>
      <c r="Y3" s="153" t="s">
        <v>6</v>
      </c>
      <c r="Z3" s="153" t="s">
        <v>7</v>
      </c>
      <c r="AA3" s="153" t="s">
        <v>7</v>
      </c>
      <c r="AB3" s="153" t="s">
        <v>7</v>
      </c>
      <c r="AC3" s="153" t="s">
        <v>7</v>
      </c>
      <c r="AD3" s="153" t="s">
        <v>8</v>
      </c>
      <c r="AE3" s="153" t="s">
        <v>8</v>
      </c>
      <c r="AF3" s="153" t="s">
        <v>8</v>
      </c>
      <c r="AG3" s="153" t="s">
        <v>8</v>
      </c>
      <c r="AH3" s="153" t="s">
        <v>9</v>
      </c>
      <c r="AI3" s="153" t="s">
        <v>9</v>
      </c>
      <c r="AJ3" s="153" t="s">
        <v>9</v>
      </c>
      <c r="AK3" s="153" t="s">
        <v>9</v>
      </c>
      <c r="AL3" s="153" t="s">
        <v>10</v>
      </c>
      <c r="AM3" s="153" t="s">
        <v>10</v>
      </c>
      <c r="AN3" s="153" t="s">
        <v>10</v>
      </c>
      <c r="AO3" s="153" t="s">
        <v>10</v>
      </c>
    </row>
    <row r="4" spans="1:47" ht="15" thickBot="1" x14ac:dyDescent="0.4">
      <c r="A4" s="108" t="s">
        <v>125</v>
      </c>
      <c r="B4" s="80" t="s">
        <v>65</v>
      </c>
      <c r="C4" s="80" t="s">
        <v>66</v>
      </c>
      <c r="D4" s="80" t="s">
        <v>61</v>
      </c>
      <c r="E4" s="80" t="s">
        <v>62</v>
      </c>
      <c r="F4" s="80" t="s">
        <v>65</v>
      </c>
      <c r="G4" s="80" t="s">
        <v>66</v>
      </c>
      <c r="H4" s="80" t="s">
        <v>61</v>
      </c>
      <c r="I4" s="80" t="s">
        <v>62</v>
      </c>
      <c r="J4" s="80" t="s">
        <v>65</v>
      </c>
      <c r="K4" s="80" t="s">
        <v>66</v>
      </c>
      <c r="L4" s="80" t="s">
        <v>61</v>
      </c>
      <c r="M4" s="80" t="s">
        <v>62</v>
      </c>
      <c r="N4" s="80" t="s">
        <v>65</v>
      </c>
      <c r="O4" s="80" t="s">
        <v>66</v>
      </c>
      <c r="P4" s="80" t="s">
        <v>61</v>
      </c>
      <c r="Q4" s="80" t="s">
        <v>62</v>
      </c>
      <c r="R4" s="80" t="s">
        <v>65</v>
      </c>
      <c r="S4" s="80" t="s">
        <v>66</v>
      </c>
      <c r="T4" s="80" t="s">
        <v>61</v>
      </c>
      <c r="U4" s="80" t="s">
        <v>62</v>
      </c>
      <c r="V4" s="80" t="s">
        <v>65</v>
      </c>
      <c r="W4" s="80" t="s">
        <v>66</v>
      </c>
      <c r="X4" s="80" t="s">
        <v>61</v>
      </c>
      <c r="Y4" s="80" t="s">
        <v>62</v>
      </c>
      <c r="Z4" s="80" t="s">
        <v>65</v>
      </c>
      <c r="AA4" s="80" t="s">
        <v>66</v>
      </c>
      <c r="AB4" s="80" t="s">
        <v>61</v>
      </c>
      <c r="AC4" s="80" t="s">
        <v>62</v>
      </c>
      <c r="AD4" s="80" t="s">
        <v>65</v>
      </c>
      <c r="AE4" s="80" t="s">
        <v>66</v>
      </c>
      <c r="AF4" s="80" t="s">
        <v>61</v>
      </c>
      <c r="AG4" s="80" t="s">
        <v>62</v>
      </c>
      <c r="AH4" s="80" t="s">
        <v>65</v>
      </c>
      <c r="AI4" s="80" t="s">
        <v>66</v>
      </c>
      <c r="AJ4" s="80" t="s">
        <v>61</v>
      </c>
      <c r="AK4" s="80" t="s">
        <v>62</v>
      </c>
      <c r="AL4" s="80" t="s">
        <v>65</v>
      </c>
      <c r="AM4" s="80" t="s">
        <v>66</v>
      </c>
      <c r="AN4" s="80" t="s">
        <v>61</v>
      </c>
      <c r="AO4" s="80" t="s">
        <v>62</v>
      </c>
    </row>
    <row r="5" spans="1:47" x14ac:dyDescent="0.35">
      <c r="A5" s="81" t="s">
        <v>126</v>
      </c>
      <c r="B5" s="185">
        <v>316.60000000000002</v>
      </c>
      <c r="C5" s="185">
        <v>281.5</v>
      </c>
      <c r="D5" s="185">
        <v>277.89999999999998</v>
      </c>
      <c r="E5" s="185">
        <v>210.4</v>
      </c>
      <c r="F5" s="185">
        <v>298.39999999999998</v>
      </c>
      <c r="G5" s="81">
        <v>240.7</v>
      </c>
      <c r="H5" s="81">
        <v>181.4</v>
      </c>
      <c r="I5" s="185">
        <v>179</v>
      </c>
      <c r="J5" s="81">
        <v>264.7</v>
      </c>
      <c r="K5" s="81">
        <v>185.7</v>
      </c>
      <c r="L5" s="81">
        <v>226.2</v>
      </c>
      <c r="M5" s="81">
        <v>149.6</v>
      </c>
      <c r="N5" s="185">
        <v>197.8</v>
      </c>
      <c r="O5" s="185">
        <v>162.1</v>
      </c>
      <c r="P5" s="185">
        <v>174.5</v>
      </c>
      <c r="Q5" s="185">
        <v>152.6</v>
      </c>
      <c r="R5" s="81">
        <v>174.9</v>
      </c>
      <c r="S5" s="81">
        <v>131.30000000000001</v>
      </c>
      <c r="T5" s="185">
        <v>121.3</v>
      </c>
      <c r="U5" s="185">
        <v>119.6</v>
      </c>
      <c r="V5" s="81">
        <v>174.3</v>
      </c>
      <c r="W5" s="81">
        <v>102.1</v>
      </c>
      <c r="X5" s="81">
        <v>125.1</v>
      </c>
      <c r="Y5" s="172">
        <v>64</v>
      </c>
      <c r="Z5" s="81">
        <v>173.7</v>
      </c>
      <c r="AA5" s="82">
        <v>121.1</v>
      </c>
      <c r="AB5" s="82">
        <v>74</v>
      </c>
      <c r="AC5" s="82">
        <v>92.6</v>
      </c>
      <c r="AD5" s="133">
        <v>114</v>
      </c>
      <c r="AE5" s="82">
        <v>73.599999999999994</v>
      </c>
      <c r="AF5" s="82">
        <v>73.7</v>
      </c>
      <c r="AG5" s="82">
        <v>60.3</v>
      </c>
      <c r="AH5" s="134">
        <v>97.4</v>
      </c>
      <c r="AI5" s="91">
        <v>56</v>
      </c>
      <c r="AJ5" s="91">
        <v>79.8</v>
      </c>
      <c r="AK5" s="91">
        <v>51.4</v>
      </c>
      <c r="AL5" s="82">
        <v>79.3</v>
      </c>
      <c r="AM5" s="82">
        <v>60.7</v>
      </c>
      <c r="AN5" s="82">
        <v>65.400000000000006</v>
      </c>
      <c r="AO5" s="82">
        <v>53.2</v>
      </c>
    </row>
    <row r="6" spans="1:47" x14ac:dyDescent="0.35">
      <c r="A6" s="81" t="s">
        <v>127</v>
      </c>
      <c r="B6" s="185">
        <v>209.9</v>
      </c>
      <c r="C6" s="185">
        <v>172.2</v>
      </c>
      <c r="D6" s="185">
        <v>150.1</v>
      </c>
      <c r="E6" s="185">
        <v>152</v>
      </c>
      <c r="F6" s="185">
        <v>154.80000000000001</v>
      </c>
      <c r="G6" s="81">
        <v>169.8</v>
      </c>
      <c r="H6" s="81">
        <v>170.4</v>
      </c>
      <c r="I6" s="81">
        <v>132.9</v>
      </c>
      <c r="J6" s="81">
        <v>192.9</v>
      </c>
      <c r="K6" s="81">
        <v>148.5</v>
      </c>
      <c r="L6" s="81">
        <v>138.19999999999999</v>
      </c>
      <c r="M6" s="81">
        <v>104.9</v>
      </c>
      <c r="N6" s="185">
        <v>144.9</v>
      </c>
      <c r="O6" s="185">
        <v>121.7</v>
      </c>
      <c r="P6" s="185">
        <v>108.8</v>
      </c>
      <c r="Q6" s="185">
        <v>97.6</v>
      </c>
      <c r="R6" s="172">
        <v>102</v>
      </c>
      <c r="S6" s="81">
        <v>101.1</v>
      </c>
      <c r="T6" s="185">
        <v>87</v>
      </c>
      <c r="U6" s="185">
        <v>88.8</v>
      </c>
      <c r="V6" s="81">
        <v>111.4</v>
      </c>
      <c r="W6" s="81">
        <v>92.6</v>
      </c>
      <c r="X6" s="81">
        <v>108.4</v>
      </c>
      <c r="Y6" s="82">
        <v>78.900000000000006</v>
      </c>
      <c r="Z6" s="82">
        <v>109.9</v>
      </c>
      <c r="AA6" s="82">
        <v>94.3</v>
      </c>
      <c r="AB6" s="82">
        <v>97.1</v>
      </c>
      <c r="AC6" s="82">
        <v>82</v>
      </c>
      <c r="AD6" s="133">
        <v>94.7</v>
      </c>
      <c r="AE6" s="82">
        <v>83.1</v>
      </c>
      <c r="AF6" s="82">
        <v>84.6</v>
      </c>
      <c r="AG6" s="82">
        <v>78</v>
      </c>
      <c r="AH6" s="133">
        <v>94.4</v>
      </c>
      <c r="AI6" s="82">
        <v>93.3</v>
      </c>
      <c r="AJ6" s="82">
        <v>86.7</v>
      </c>
      <c r="AK6" s="82">
        <v>71.8</v>
      </c>
      <c r="AL6" s="82">
        <v>82.6</v>
      </c>
      <c r="AM6" s="82">
        <v>71.400000000000006</v>
      </c>
      <c r="AN6" s="82">
        <v>69.5</v>
      </c>
      <c r="AO6" s="82">
        <v>57</v>
      </c>
      <c r="AQ6" s="124"/>
      <c r="AU6" s="124"/>
    </row>
    <row r="7" spans="1:47" x14ac:dyDescent="0.35">
      <c r="A7" s="81" t="s">
        <v>128</v>
      </c>
      <c r="B7" s="185">
        <v>151</v>
      </c>
      <c r="C7" s="185">
        <v>133.9</v>
      </c>
      <c r="D7" s="185">
        <v>140.1</v>
      </c>
      <c r="E7" s="185">
        <v>155.1</v>
      </c>
      <c r="F7" s="185">
        <v>167</v>
      </c>
      <c r="G7" s="81">
        <v>146.5</v>
      </c>
      <c r="H7" s="81">
        <v>143.30000000000001</v>
      </c>
      <c r="I7" s="81">
        <v>156.69999999999999</v>
      </c>
      <c r="J7" s="81">
        <v>164.3</v>
      </c>
      <c r="K7" s="81">
        <v>132.5</v>
      </c>
      <c r="L7" s="81">
        <v>162.69999999999999</v>
      </c>
      <c r="M7" s="81">
        <v>118.6</v>
      </c>
      <c r="N7" s="185">
        <v>142.30000000000001</v>
      </c>
      <c r="O7" s="185">
        <v>84.5</v>
      </c>
      <c r="P7" s="185">
        <v>87.1</v>
      </c>
      <c r="Q7" s="185">
        <v>67.8</v>
      </c>
      <c r="R7" s="81">
        <v>172.4</v>
      </c>
      <c r="S7" s="81">
        <v>86.3</v>
      </c>
      <c r="T7" s="185">
        <v>53.9</v>
      </c>
      <c r="U7" s="185">
        <v>58.1</v>
      </c>
      <c r="V7" s="81">
        <v>66.3</v>
      </c>
      <c r="W7" s="81">
        <v>54.5</v>
      </c>
      <c r="X7" s="81">
        <v>52.1</v>
      </c>
      <c r="Y7" s="81">
        <v>43.4</v>
      </c>
      <c r="Z7" s="81">
        <v>64.900000000000006</v>
      </c>
      <c r="AA7" s="82">
        <v>79.400000000000006</v>
      </c>
      <c r="AB7" s="82">
        <v>51.2</v>
      </c>
      <c r="AC7" s="82">
        <v>35.200000000000003</v>
      </c>
      <c r="AD7" s="133">
        <v>123.6</v>
      </c>
      <c r="AE7" s="82">
        <f>47.1-12.1</f>
        <v>35</v>
      </c>
      <c r="AF7" s="82">
        <f>49.5-11.2</f>
        <v>38.299999999999997</v>
      </c>
      <c r="AG7" s="82">
        <f>52.6-12.4</f>
        <v>40.200000000000003</v>
      </c>
      <c r="AH7" s="134">
        <v>30.1</v>
      </c>
      <c r="AI7" s="91">
        <v>34.299999999999997</v>
      </c>
      <c r="AJ7" s="91">
        <v>33.4</v>
      </c>
      <c r="AK7" s="91">
        <v>42.5</v>
      </c>
      <c r="AL7" s="82">
        <f>62.2-10.2</f>
        <v>52</v>
      </c>
      <c r="AM7" s="82">
        <f>43.6-11.8</f>
        <v>31.8</v>
      </c>
      <c r="AN7" s="82">
        <f>40.5-4.2</f>
        <v>36.299999999999997</v>
      </c>
      <c r="AO7" s="82">
        <f>38.6+10.3</f>
        <v>48.900000000000006</v>
      </c>
      <c r="AU7" s="124"/>
    </row>
    <row r="8" spans="1:47" x14ac:dyDescent="0.35">
      <c r="A8" s="88" t="s">
        <v>129</v>
      </c>
      <c r="B8" s="188">
        <v>239.5</v>
      </c>
      <c r="C8" s="188">
        <v>219.7</v>
      </c>
      <c r="D8" s="188">
        <v>205.1</v>
      </c>
      <c r="E8" s="188">
        <v>186.2</v>
      </c>
      <c r="F8" s="188">
        <f>177.7+40.2</f>
        <v>217.89999999999998</v>
      </c>
      <c r="G8" s="140">
        <f>168.4+52.4</f>
        <v>220.8</v>
      </c>
      <c r="H8" s="140">
        <f>150.2+51.7</f>
        <v>201.89999999999998</v>
      </c>
      <c r="I8" s="140">
        <f>138.4+48.8</f>
        <v>187.2</v>
      </c>
      <c r="J8" s="140">
        <f>162.1+63.6</f>
        <v>225.7</v>
      </c>
      <c r="K8" s="140">
        <f>141.1+39.7</f>
        <v>180.8</v>
      </c>
      <c r="L8" s="140">
        <f>134.8+42</f>
        <v>176.8</v>
      </c>
      <c r="M8" s="140">
        <f>121.5+38.7</f>
        <v>160.19999999999999</v>
      </c>
      <c r="N8" s="188">
        <f>129.3+37.9</f>
        <v>167.20000000000002</v>
      </c>
      <c r="O8" s="188">
        <f>140.5+30.9</f>
        <v>171.4</v>
      </c>
      <c r="P8" s="188">
        <f>127+31.4</f>
        <v>158.4</v>
      </c>
      <c r="Q8" s="188">
        <f>93.7+35.5</f>
        <v>129.19999999999999</v>
      </c>
      <c r="R8" s="88">
        <f>116.2+54.3</f>
        <v>170.5</v>
      </c>
      <c r="S8" s="88">
        <f>103.7+28.5</f>
        <v>132.19999999999999</v>
      </c>
      <c r="T8" s="201">
        <f>96.7+36.5</f>
        <v>133.19999999999999</v>
      </c>
      <c r="U8" s="188">
        <f>85.2+31</f>
        <v>116.2</v>
      </c>
      <c r="V8" s="140">
        <f>95.9+33.2</f>
        <v>129.10000000000002</v>
      </c>
      <c r="W8" s="140">
        <f>84.1+44</f>
        <v>128.1</v>
      </c>
      <c r="X8" s="140">
        <f>71.4+34.3</f>
        <v>105.7</v>
      </c>
      <c r="Y8" s="91">
        <f>64.6+31.5</f>
        <v>96.1</v>
      </c>
      <c r="Z8" s="91">
        <f>80.9+54.9</f>
        <v>135.80000000000001</v>
      </c>
      <c r="AA8" s="91">
        <f>94.5+33.5</f>
        <v>128</v>
      </c>
      <c r="AB8" s="91">
        <f>86.4+30.4</f>
        <v>116.80000000000001</v>
      </c>
      <c r="AC8" s="91">
        <f>72.5+30.3</f>
        <v>102.8</v>
      </c>
      <c r="AD8" s="134">
        <f>95.4+26.9</f>
        <v>122.30000000000001</v>
      </c>
      <c r="AE8" s="91">
        <f>78.7+40.1</f>
        <v>118.80000000000001</v>
      </c>
      <c r="AF8" s="91">
        <f>73.4+28.9</f>
        <v>102.30000000000001</v>
      </c>
      <c r="AG8" s="91">
        <f>73.7+23.6</f>
        <v>97.300000000000011</v>
      </c>
      <c r="AH8" s="133">
        <f>72.4+34.7</f>
        <v>107.10000000000001</v>
      </c>
      <c r="AI8" s="82">
        <f>65.1+23.9</f>
        <v>89</v>
      </c>
      <c r="AJ8" s="82">
        <f>60.4+25.6</f>
        <v>86</v>
      </c>
      <c r="AK8" s="82">
        <f>69.7+19.2</f>
        <v>88.9</v>
      </c>
      <c r="AL8" s="89">
        <f>76.4+24.1</f>
        <v>100.5</v>
      </c>
      <c r="AM8" s="89">
        <f>73.1+26.2</f>
        <v>99.3</v>
      </c>
      <c r="AN8" s="89">
        <f>67.4+20.8</f>
        <v>88.2</v>
      </c>
      <c r="AO8" s="89">
        <f>51.9+15.5</f>
        <v>67.400000000000006</v>
      </c>
      <c r="AQ8" s="124"/>
      <c r="AU8" s="124"/>
    </row>
    <row r="9" spans="1:47" ht="15" thickBot="1" x14ac:dyDescent="0.4">
      <c r="A9" s="95" t="s">
        <v>130</v>
      </c>
      <c r="B9" s="187">
        <v>116.2</v>
      </c>
      <c r="C9" s="187">
        <v>84.7</v>
      </c>
      <c r="D9" s="187">
        <v>77.400000000000006</v>
      </c>
      <c r="E9" s="187">
        <v>62.2</v>
      </c>
      <c r="F9" s="187">
        <v>76</v>
      </c>
      <c r="G9" s="108">
        <v>70.599999999999994</v>
      </c>
      <c r="H9" s="108">
        <v>56.5</v>
      </c>
      <c r="I9" s="187">
        <v>68</v>
      </c>
      <c r="J9" s="108">
        <v>50.5</v>
      </c>
      <c r="K9" s="108">
        <v>46.5</v>
      </c>
      <c r="L9" s="108">
        <v>83.8</v>
      </c>
      <c r="M9" s="108">
        <v>50.4</v>
      </c>
      <c r="N9" s="187">
        <v>72.5</v>
      </c>
      <c r="O9" s="187">
        <v>40.6</v>
      </c>
      <c r="P9" s="187">
        <v>32.9</v>
      </c>
      <c r="Q9" s="187">
        <v>36.9</v>
      </c>
      <c r="R9" s="108">
        <v>29.2</v>
      </c>
      <c r="S9" s="108">
        <v>25.3</v>
      </c>
      <c r="T9" s="187">
        <v>22.8</v>
      </c>
      <c r="U9" s="187">
        <v>23</v>
      </c>
      <c r="V9" s="108">
        <v>45.1</v>
      </c>
      <c r="W9" s="108">
        <v>16.899999999999999</v>
      </c>
      <c r="X9" s="108">
        <v>21.9</v>
      </c>
      <c r="Y9" s="125">
        <v>16.5</v>
      </c>
      <c r="Z9" s="125">
        <v>23.3</v>
      </c>
      <c r="AA9" s="125">
        <v>34.6</v>
      </c>
      <c r="AB9" s="125">
        <v>24.2</v>
      </c>
      <c r="AC9" s="125">
        <v>20.2</v>
      </c>
      <c r="AD9" s="137">
        <v>19.5</v>
      </c>
      <c r="AE9" s="125">
        <v>19</v>
      </c>
      <c r="AF9" s="125">
        <v>17.3</v>
      </c>
      <c r="AG9" s="125">
        <v>17.899999999999999</v>
      </c>
      <c r="AH9" s="135">
        <v>28.1</v>
      </c>
      <c r="AI9" s="96">
        <v>12.9</v>
      </c>
      <c r="AJ9" s="96">
        <v>12.6</v>
      </c>
      <c r="AK9" s="96">
        <v>13.5</v>
      </c>
      <c r="AL9" s="96">
        <v>16.2</v>
      </c>
      <c r="AM9" s="96">
        <v>19.2</v>
      </c>
      <c r="AN9" s="96">
        <v>11.8</v>
      </c>
      <c r="AO9" s="96">
        <v>14.3</v>
      </c>
      <c r="AU9" s="124"/>
    </row>
    <row r="10" spans="1:47" ht="15" thickBot="1" x14ac:dyDescent="0.4">
      <c r="A10" s="79" t="s">
        <v>131</v>
      </c>
      <c r="B10" s="218">
        <f t="shared" ref="B10:D10" si="0">SUM(B5:B9)</f>
        <v>1033.2</v>
      </c>
      <c r="C10" s="218">
        <f t="shared" si="0"/>
        <v>892</v>
      </c>
      <c r="D10" s="218">
        <f t="shared" si="0"/>
        <v>850.6</v>
      </c>
      <c r="E10" s="218">
        <f t="shared" ref="E10:Q10" si="1">SUM(E5:E9)</f>
        <v>765.90000000000009</v>
      </c>
      <c r="F10" s="218">
        <f t="shared" si="1"/>
        <v>914.1</v>
      </c>
      <c r="G10" s="218">
        <f t="shared" si="1"/>
        <v>848.4</v>
      </c>
      <c r="H10" s="218">
        <f t="shared" si="1"/>
        <v>753.5</v>
      </c>
      <c r="I10" s="218">
        <f t="shared" si="1"/>
        <v>723.8</v>
      </c>
      <c r="J10" s="218">
        <f t="shared" si="1"/>
        <v>898.10000000000014</v>
      </c>
      <c r="K10" s="218">
        <f t="shared" si="1"/>
        <v>694</v>
      </c>
      <c r="L10" s="218">
        <f t="shared" si="1"/>
        <v>787.69999999999982</v>
      </c>
      <c r="M10" s="218">
        <f t="shared" si="1"/>
        <v>583.69999999999993</v>
      </c>
      <c r="N10" s="218">
        <f t="shared" si="1"/>
        <v>724.7</v>
      </c>
      <c r="O10" s="218">
        <f t="shared" si="1"/>
        <v>580.30000000000007</v>
      </c>
      <c r="P10" s="218">
        <f t="shared" si="1"/>
        <v>561.69999999999993</v>
      </c>
      <c r="Q10" s="97">
        <f t="shared" si="1"/>
        <v>484.09999999999997</v>
      </c>
      <c r="R10" s="97">
        <f t="shared" ref="R10:AO10" si="2">SUM(R5:R9)</f>
        <v>649</v>
      </c>
      <c r="S10" s="97">
        <f t="shared" si="2"/>
        <v>476.2</v>
      </c>
      <c r="T10" s="97">
        <f t="shared" si="2"/>
        <v>418.2</v>
      </c>
      <c r="U10" s="97">
        <f t="shared" si="2"/>
        <v>405.7</v>
      </c>
      <c r="V10" s="97">
        <f t="shared" si="2"/>
        <v>526.20000000000005</v>
      </c>
      <c r="W10" s="97">
        <f t="shared" si="2"/>
        <v>394.19999999999993</v>
      </c>
      <c r="X10" s="97">
        <f t="shared" si="2"/>
        <v>413.2</v>
      </c>
      <c r="Y10" s="97">
        <f t="shared" si="2"/>
        <v>298.89999999999998</v>
      </c>
      <c r="Z10" s="97">
        <f t="shared" si="2"/>
        <v>507.6</v>
      </c>
      <c r="AA10" s="97">
        <f t="shared" si="2"/>
        <v>457.4</v>
      </c>
      <c r="AB10" s="97">
        <f t="shared" si="2"/>
        <v>363.3</v>
      </c>
      <c r="AC10" s="97">
        <f t="shared" si="2"/>
        <v>332.8</v>
      </c>
      <c r="AD10" s="97">
        <f t="shared" si="2"/>
        <v>474.09999999999997</v>
      </c>
      <c r="AE10" s="97">
        <f t="shared" si="2"/>
        <v>329.5</v>
      </c>
      <c r="AF10" s="97">
        <f t="shared" si="2"/>
        <v>316.20000000000005</v>
      </c>
      <c r="AG10" s="97">
        <f t="shared" si="2"/>
        <v>293.7</v>
      </c>
      <c r="AH10" s="97">
        <f t="shared" si="2"/>
        <v>357.1</v>
      </c>
      <c r="AI10" s="97">
        <f t="shared" si="2"/>
        <v>285.5</v>
      </c>
      <c r="AJ10" s="97">
        <f t="shared" si="2"/>
        <v>298.5</v>
      </c>
      <c r="AK10" s="97">
        <f t="shared" si="2"/>
        <v>268.10000000000002</v>
      </c>
      <c r="AL10" s="97">
        <f t="shared" si="2"/>
        <v>330.59999999999997</v>
      </c>
      <c r="AM10" s="97">
        <f t="shared" si="2"/>
        <v>282.40000000000003</v>
      </c>
      <c r="AN10" s="97">
        <f t="shared" si="2"/>
        <v>271.2</v>
      </c>
      <c r="AO10" s="97">
        <f t="shared" si="2"/>
        <v>240.80000000000004</v>
      </c>
    </row>
    <row r="11" spans="1:47" x14ac:dyDescent="0.35">
      <c r="AD11" s="98"/>
      <c r="AH11" s="98"/>
    </row>
    <row r="13" spans="1:47" x14ac:dyDescent="0.35"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</row>
  </sheetData>
  <phoneticPr fontId="45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6"/>
  <sheetViews>
    <sheetView showWhiteSpace="0" view="pageLayout" topLeftCell="A22" zoomScale="140" zoomScaleNormal="100" zoomScalePageLayoutView="140" workbookViewId="0">
      <selection activeCell="A31" sqref="A31"/>
    </sheetView>
  </sheetViews>
  <sheetFormatPr defaultRowHeight="14.5" x14ac:dyDescent="0.35"/>
  <cols>
    <col min="1" max="1" width="34.54296875" customWidth="1"/>
    <col min="2" max="6" width="10.54296875" customWidth="1"/>
  </cols>
  <sheetData>
    <row r="1" spans="1:6" ht="18" x14ac:dyDescent="0.35">
      <c r="A1" s="1" t="s">
        <v>132</v>
      </c>
    </row>
    <row r="2" spans="1:6" x14ac:dyDescent="0.35">
      <c r="A2" s="2"/>
    </row>
    <row r="3" spans="1:6" ht="15" customHeight="1" x14ac:dyDescent="0.35">
      <c r="A3" s="9" t="s">
        <v>133</v>
      </c>
      <c r="B3" s="10" t="s">
        <v>134</v>
      </c>
      <c r="C3" s="11" t="s">
        <v>135</v>
      </c>
      <c r="D3" s="11" t="s">
        <v>136</v>
      </c>
      <c r="E3" s="11" t="s">
        <v>137</v>
      </c>
      <c r="F3" s="11" t="s">
        <v>138</v>
      </c>
    </row>
    <row r="4" spans="1:6" ht="6.75" customHeight="1" x14ac:dyDescent="0.35">
      <c r="A4" s="3"/>
    </row>
    <row r="5" spans="1:6" x14ac:dyDescent="0.35">
      <c r="A5" s="28" t="s">
        <v>139</v>
      </c>
    </row>
    <row r="6" spans="1:6" ht="6.75" customHeight="1" x14ac:dyDescent="0.35">
      <c r="A6" s="4"/>
    </row>
    <row r="7" spans="1:6" ht="15" customHeight="1" x14ac:dyDescent="0.35">
      <c r="A7" s="12" t="s">
        <v>140</v>
      </c>
      <c r="B7" s="15">
        <v>816954</v>
      </c>
      <c r="C7" s="14" t="s">
        <v>141</v>
      </c>
      <c r="D7" s="15">
        <v>783691</v>
      </c>
      <c r="E7" s="15">
        <v>753857</v>
      </c>
      <c r="F7" s="15">
        <v>776978</v>
      </c>
    </row>
    <row r="8" spans="1:6" ht="15" customHeight="1" x14ac:dyDescent="0.35">
      <c r="A8" s="16" t="s">
        <v>68</v>
      </c>
      <c r="B8" s="17">
        <v>12210</v>
      </c>
      <c r="C8" s="17">
        <v>10586</v>
      </c>
      <c r="D8" s="17">
        <v>8598</v>
      </c>
      <c r="E8" s="17">
        <v>15107</v>
      </c>
      <c r="F8" s="17">
        <v>36763</v>
      </c>
    </row>
    <row r="9" spans="1:6" ht="15" customHeight="1" x14ac:dyDescent="0.35">
      <c r="A9" s="16" t="s">
        <v>142</v>
      </c>
      <c r="B9" s="17">
        <v>-697343</v>
      </c>
      <c r="C9" s="17">
        <v>-686822</v>
      </c>
      <c r="D9" s="17">
        <v>-678457</v>
      </c>
      <c r="E9" s="17">
        <v>-628233</v>
      </c>
      <c r="F9" s="17">
        <v>-680466</v>
      </c>
    </row>
    <row r="10" spans="1:6" ht="15" customHeight="1" x14ac:dyDescent="0.35">
      <c r="A10" s="18" t="s">
        <v>19</v>
      </c>
      <c r="B10" s="19">
        <v>-45955</v>
      </c>
      <c r="C10" s="19">
        <v>-43389</v>
      </c>
      <c r="D10" s="19">
        <v>-41288</v>
      </c>
      <c r="E10" s="19">
        <v>-25075</v>
      </c>
      <c r="F10" s="19">
        <v>-12832</v>
      </c>
    </row>
    <row r="11" spans="1:6" ht="15" customHeight="1" x14ac:dyDescent="0.35">
      <c r="A11" s="12" t="s">
        <v>143</v>
      </c>
      <c r="B11" s="15">
        <f>SUM(B7:B10)</f>
        <v>85866</v>
      </c>
      <c r="C11" s="14" t="s">
        <v>144</v>
      </c>
      <c r="D11" s="15">
        <f>SUM(D7:D10)</f>
        <v>72544</v>
      </c>
      <c r="E11" s="15">
        <f>SUM(E7:E10)</f>
        <v>115656</v>
      </c>
      <c r="F11" s="15">
        <f>SUM(F7:F10)</f>
        <v>120443</v>
      </c>
    </row>
    <row r="12" spans="1:6" ht="6.75" customHeight="1" x14ac:dyDescent="0.35">
      <c r="A12" s="16"/>
      <c r="B12" s="20"/>
      <c r="C12" s="20"/>
      <c r="D12" s="20"/>
      <c r="E12" s="20"/>
      <c r="F12" s="20"/>
    </row>
    <row r="13" spans="1:6" ht="15" customHeight="1" x14ac:dyDescent="0.35">
      <c r="A13" s="18" t="s">
        <v>76</v>
      </c>
      <c r="B13" s="19">
        <v>688</v>
      </c>
      <c r="C13" s="19">
        <v>24390</v>
      </c>
      <c r="D13" s="19">
        <v>-2371</v>
      </c>
      <c r="E13" s="19">
        <v>-2644</v>
      </c>
      <c r="F13" s="19">
        <v>79475</v>
      </c>
    </row>
    <row r="14" spans="1:6" ht="15" customHeight="1" x14ac:dyDescent="0.35">
      <c r="A14" s="12" t="s">
        <v>145</v>
      </c>
      <c r="B14" s="15">
        <f>B13+B11</f>
        <v>86554</v>
      </c>
      <c r="C14" s="15">
        <v>127855</v>
      </c>
      <c r="D14" s="15">
        <f>D13+D11</f>
        <v>70173</v>
      </c>
      <c r="E14" s="15">
        <f>E13+E11</f>
        <v>113012</v>
      </c>
      <c r="F14" s="15">
        <f>F13+F11</f>
        <v>199918</v>
      </c>
    </row>
    <row r="15" spans="1:6" ht="6.75" customHeight="1" x14ac:dyDescent="0.35">
      <c r="A15" s="16"/>
      <c r="B15" s="20"/>
      <c r="C15" s="20"/>
      <c r="D15" s="20"/>
      <c r="E15" s="20"/>
      <c r="F15" s="20"/>
    </row>
    <row r="16" spans="1:6" ht="15" customHeight="1" x14ac:dyDescent="0.35">
      <c r="A16" s="18" t="s">
        <v>146</v>
      </c>
      <c r="B16" s="19">
        <v>-24308</v>
      </c>
      <c r="C16" s="19">
        <v>-35007</v>
      </c>
      <c r="D16" s="19">
        <v>-21874</v>
      </c>
      <c r="E16" s="19">
        <v>-29020</v>
      </c>
      <c r="F16" s="19">
        <v>-56066</v>
      </c>
    </row>
    <row r="17" spans="1:6" ht="24" customHeight="1" x14ac:dyDescent="0.35">
      <c r="A17" s="12" t="s">
        <v>147</v>
      </c>
      <c r="B17" s="15">
        <f>B16+B14</f>
        <v>62246</v>
      </c>
      <c r="C17" s="15">
        <f>C16+C14</f>
        <v>92848</v>
      </c>
      <c r="D17" s="15">
        <f>D16+D14</f>
        <v>48299</v>
      </c>
      <c r="E17" s="15">
        <f>E16+E14</f>
        <v>83992</v>
      </c>
      <c r="F17" s="15">
        <f>SUM(F16+F14)</f>
        <v>143852</v>
      </c>
    </row>
    <row r="18" spans="1:6" ht="6.75" customHeight="1" x14ac:dyDescent="0.35">
      <c r="A18" s="12"/>
      <c r="B18" s="20"/>
      <c r="C18" s="20"/>
      <c r="D18" s="20"/>
      <c r="E18" s="20"/>
      <c r="F18" s="20"/>
    </row>
    <row r="19" spans="1:6" ht="15" customHeight="1" x14ac:dyDescent="0.35">
      <c r="A19" s="18" t="s">
        <v>148</v>
      </c>
      <c r="B19" s="19">
        <v>0</v>
      </c>
      <c r="C19" s="19">
        <v>292967</v>
      </c>
      <c r="D19" s="19">
        <v>-57916</v>
      </c>
      <c r="E19" s="19">
        <v>-66785</v>
      </c>
      <c r="F19" s="19">
        <v>-93396</v>
      </c>
    </row>
    <row r="20" spans="1:6" ht="15" customHeight="1" x14ac:dyDescent="0.35">
      <c r="A20" s="12" t="s">
        <v>149</v>
      </c>
      <c r="B20" s="15">
        <f>B19+B17</f>
        <v>62246</v>
      </c>
      <c r="C20" s="15">
        <f>C19+C17</f>
        <v>385815</v>
      </c>
      <c r="D20" s="15">
        <f>D19+D17</f>
        <v>-9617</v>
      </c>
      <c r="E20" s="15">
        <f>E19+E17</f>
        <v>17207</v>
      </c>
      <c r="F20" s="15">
        <f>F19+F17</f>
        <v>50456</v>
      </c>
    </row>
    <row r="21" spans="1:6" ht="15" customHeight="1" x14ac:dyDescent="0.35">
      <c r="A21" s="12"/>
      <c r="B21" s="13"/>
      <c r="C21" s="20"/>
      <c r="D21" s="20"/>
      <c r="E21" s="20"/>
      <c r="F21" s="20"/>
    </row>
    <row r="22" spans="1:6" x14ac:dyDescent="0.35">
      <c r="A22" s="28" t="s">
        <v>150</v>
      </c>
      <c r="B22" s="13"/>
      <c r="C22" s="13"/>
      <c r="D22" s="13"/>
      <c r="E22" s="13"/>
      <c r="F22" s="13"/>
    </row>
    <row r="23" spans="1:6" ht="6.75" customHeight="1" x14ac:dyDescent="0.35">
      <c r="A23" s="5"/>
      <c r="B23" s="13"/>
      <c r="C23" s="13"/>
      <c r="D23" s="13"/>
      <c r="E23" s="13"/>
      <c r="F23" s="13"/>
    </row>
    <row r="24" spans="1:6" x14ac:dyDescent="0.35">
      <c r="A24" s="12" t="s">
        <v>151</v>
      </c>
      <c r="B24" s="13"/>
      <c r="C24" s="20"/>
      <c r="D24" s="20"/>
      <c r="E24" s="20"/>
      <c r="F24" s="20"/>
    </row>
    <row r="25" spans="1:6" ht="15" customHeight="1" x14ac:dyDescent="0.35">
      <c r="A25" s="16" t="s">
        <v>152</v>
      </c>
      <c r="B25" s="17">
        <v>123157</v>
      </c>
      <c r="C25" s="17">
        <v>65784</v>
      </c>
      <c r="D25" s="17">
        <v>195073</v>
      </c>
      <c r="E25" s="17">
        <v>211079</v>
      </c>
      <c r="F25" s="17">
        <v>227216</v>
      </c>
    </row>
    <row r="26" spans="1:6" ht="15" customHeight="1" x14ac:dyDescent="0.35">
      <c r="A26" s="16" t="s">
        <v>153</v>
      </c>
      <c r="B26" s="17">
        <v>58467</v>
      </c>
      <c r="C26" s="17">
        <v>66450</v>
      </c>
      <c r="D26" s="17">
        <v>66249</v>
      </c>
      <c r="E26" s="17">
        <v>78257</v>
      </c>
      <c r="F26" s="17">
        <v>69554</v>
      </c>
    </row>
    <row r="27" spans="1:6" ht="15" customHeight="1" x14ac:dyDescent="0.35">
      <c r="A27" s="16" t="s">
        <v>154</v>
      </c>
      <c r="B27" s="17">
        <v>536291</v>
      </c>
      <c r="C27" s="17">
        <v>605757</v>
      </c>
      <c r="D27" s="17">
        <v>211341</v>
      </c>
      <c r="E27" s="17">
        <v>193024</v>
      </c>
      <c r="F27" s="17">
        <v>184282</v>
      </c>
    </row>
    <row r="28" spans="1:6" ht="15" customHeight="1" x14ac:dyDescent="0.35">
      <c r="A28" s="18" t="s">
        <v>155</v>
      </c>
      <c r="B28" s="19">
        <v>365642</v>
      </c>
      <c r="C28" s="19">
        <v>396083</v>
      </c>
      <c r="D28" s="19">
        <v>461061</v>
      </c>
      <c r="E28" s="19">
        <v>486315</v>
      </c>
      <c r="F28" s="19">
        <v>527103</v>
      </c>
    </row>
    <row r="29" spans="1:6" ht="15" customHeight="1" x14ac:dyDescent="0.35">
      <c r="A29" s="12" t="s">
        <v>156</v>
      </c>
      <c r="B29" s="15">
        <f>SUM(B25:B28)</f>
        <v>1083557</v>
      </c>
      <c r="C29" s="15">
        <f>SUM(C25:C28)</f>
        <v>1134074</v>
      </c>
      <c r="D29" s="15">
        <f>SUM(D25:D28)</f>
        <v>933724</v>
      </c>
      <c r="E29" s="15">
        <f>SUM(E25:E28)</f>
        <v>968675</v>
      </c>
      <c r="F29" s="15">
        <f>SUM(F25:F28)</f>
        <v>1008155</v>
      </c>
    </row>
    <row r="30" spans="1:6" ht="6.75" customHeight="1" x14ac:dyDescent="0.35">
      <c r="A30" s="21"/>
      <c r="B30" s="22"/>
      <c r="C30" s="22"/>
      <c r="D30" s="22"/>
      <c r="E30" s="22"/>
      <c r="F30" s="22"/>
    </row>
    <row r="31" spans="1:6" ht="15" customHeight="1" x14ac:dyDescent="0.35">
      <c r="A31" s="12" t="s">
        <v>157</v>
      </c>
      <c r="B31" s="20"/>
      <c r="C31" s="20"/>
      <c r="D31" s="20"/>
      <c r="E31" s="20"/>
      <c r="F31" s="20"/>
    </row>
    <row r="32" spans="1:6" ht="15" customHeight="1" x14ac:dyDescent="0.35">
      <c r="A32" s="16" t="s">
        <v>158</v>
      </c>
      <c r="B32" s="17">
        <v>665300</v>
      </c>
      <c r="C32" s="17">
        <v>787392</v>
      </c>
      <c r="D32" s="17">
        <v>569537</v>
      </c>
      <c r="E32" s="17">
        <v>602568</v>
      </c>
      <c r="F32" s="17">
        <v>599114</v>
      </c>
    </row>
    <row r="33" spans="1:6" ht="15" customHeight="1" x14ac:dyDescent="0.35">
      <c r="A33" s="16" t="s">
        <v>159</v>
      </c>
      <c r="B33" s="17">
        <v>44642</v>
      </c>
      <c r="C33" s="17">
        <v>28466</v>
      </c>
      <c r="D33" s="17">
        <v>20955</v>
      </c>
      <c r="E33" s="17">
        <v>22495</v>
      </c>
      <c r="F33" s="17">
        <v>30474</v>
      </c>
    </row>
    <row r="34" spans="1:6" ht="15" customHeight="1" x14ac:dyDescent="0.35">
      <c r="A34" s="16" t="s">
        <v>160</v>
      </c>
      <c r="B34" s="17">
        <v>26503</v>
      </c>
      <c r="C34" s="17">
        <v>17260</v>
      </c>
      <c r="D34" s="17">
        <v>23406</v>
      </c>
      <c r="E34" s="17">
        <v>17315</v>
      </c>
      <c r="F34" s="17">
        <v>23162</v>
      </c>
    </row>
    <row r="35" spans="1:6" ht="15" customHeight="1" x14ac:dyDescent="0.35">
      <c r="A35" s="18" t="s">
        <v>161</v>
      </c>
      <c r="B35" s="19">
        <v>347112</v>
      </c>
      <c r="C35" s="19">
        <v>300956</v>
      </c>
      <c r="D35" s="19">
        <v>319826</v>
      </c>
      <c r="E35" s="19">
        <v>326297</v>
      </c>
      <c r="F35" s="19">
        <v>355405</v>
      </c>
    </row>
    <row r="36" spans="1:6" ht="15" customHeight="1" x14ac:dyDescent="0.35">
      <c r="A36" s="23" t="s">
        <v>162</v>
      </c>
      <c r="B36" s="24">
        <f>SUM(B32:B35)</f>
        <v>1083557</v>
      </c>
      <c r="C36" s="24">
        <f>SUM(C32:C35)</f>
        <v>1134074</v>
      </c>
      <c r="D36" s="24">
        <f>SUM(D32:D35)</f>
        <v>933724</v>
      </c>
      <c r="E36" s="24">
        <f>SUM(E32:E35)</f>
        <v>968675</v>
      </c>
      <c r="F36" s="24">
        <f>SUM(F32:F35)</f>
        <v>1008155</v>
      </c>
    </row>
    <row r="37" spans="1:6" ht="15" customHeight="1" x14ac:dyDescent="0.35">
      <c r="A37" s="2"/>
      <c r="B37" s="13"/>
      <c r="C37" s="13"/>
      <c r="D37" s="13"/>
      <c r="E37" s="13"/>
      <c r="F37" s="13"/>
    </row>
    <row r="38" spans="1:6" ht="15" customHeight="1" x14ac:dyDescent="0.35">
      <c r="A38" s="28" t="s">
        <v>163</v>
      </c>
      <c r="B38" s="13"/>
      <c r="C38" s="13"/>
      <c r="D38" s="13"/>
      <c r="E38" s="13"/>
      <c r="F38" s="13"/>
    </row>
    <row r="39" spans="1:6" ht="7.5" customHeight="1" x14ac:dyDescent="0.35">
      <c r="A39" s="6"/>
      <c r="B39" s="13"/>
      <c r="C39" s="13"/>
      <c r="D39" s="13"/>
      <c r="E39" s="13"/>
      <c r="F39" s="13"/>
    </row>
    <row r="40" spans="1:6" s="31" customFormat="1" ht="14.25" customHeight="1" x14ac:dyDescent="0.3">
      <c r="A40" s="46" t="s">
        <v>11</v>
      </c>
      <c r="B40" s="30"/>
      <c r="C40" s="30"/>
      <c r="D40" s="30"/>
      <c r="E40" s="30"/>
      <c r="F40" s="30"/>
    </row>
    <row r="41" spans="1:6" s="31" customFormat="1" ht="15" customHeight="1" x14ac:dyDescent="0.3">
      <c r="A41" s="32" t="s">
        <v>164</v>
      </c>
      <c r="B41" s="48">
        <v>816954</v>
      </c>
      <c r="C41" s="33" t="s">
        <v>141</v>
      </c>
      <c r="D41" s="30">
        <v>783691</v>
      </c>
      <c r="E41" s="30">
        <v>753857</v>
      </c>
      <c r="F41" s="30">
        <v>776978</v>
      </c>
    </row>
    <row r="42" spans="1:6" s="31" customFormat="1" ht="15" customHeight="1" x14ac:dyDescent="0.3">
      <c r="A42" s="47" t="s">
        <v>165</v>
      </c>
      <c r="B42" s="48"/>
      <c r="C42" s="33"/>
      <c r="D42" s="30"/>
      <c r="E42" s="30"/>
      <c r="F42" s="30"/>
    </row>
    <row r="43" spans="1:6" s="31" customFormat="1" ht="15" customHeight="1" x14ac:dyDescent="0.3">
      <c r="A43" s="47" t="s">
        <v>166</v>
      </c>
      <c r="B43" s="48"/>
      <c r="C43" s="33"/>
      <c r="D43" s="30"/>
      <c r="E43" s="30"/>
      <c r="F43" s="30"/>
    </row>
    <row r="44" spans="1:6" s="31" customFormat="1" ht="15" customHeight="1" x14ac:dyDescent="0.3">
      <c r="A44" s="32" t="s">
        <v>19</v>
      </c>
      <c r="B44" s="48">
        <v>-45955</v>
      </c>
      <c r="C44" s="48">
        <v>-43389</v>
      </c>
      <c r="D44" s="35">
        <v>-41288</v>
      </c>
      <c r="E44" s="35">
        <v>-25075</v>
      </c>
      <c r="F44" s="35">
        <v>-12832</v>
      </c>
    </row>
    <row r="45" spans="1:6" s="31" customFormat="1" ht="15" customHeight="1" x14ac:dyDescent="0.3">
      <c r="A45" s="32" t="s">
        <v>167</v>
      </c>
      <c r="B45" s="48">
        <v>85866</v>
      </c>
      <c r="C45" s="33" t="s">
        <v>144</v>
      </c>
      <c r="D45" s="30">
        <v>72544</v>
      </c>
      <c r="E45" s="30">
        <v>115656</v>
      </c>
      <c r="F45" s="30">
        <v>120443</v>
      </c>
    </row>
    <row r="46" spans="1:6" s="31" customFormat="1" ht="15" customHeight="1" x14ac:dyDescent="0.3">
      <c r="A46" s="32" t="s">
        <v>23</v>
      </c>
      <c r="B46" s="48">
        <v>86554</v>
      </c>
      <c r="C46" s="33">
        <v>127855</v>
      </c>
      <c r="D46" s="30">
        <v>70173</v>
      </c>
      <c r="E46" s="30">
        <v>113012</v>
      </c>
      <c r="F46" s="30">
        <v>199918</v>
      </c>
    </row>
    <row r="47" spans="1:6" s="31" customFormat="1" ht="15" customHeight="1" x14ac:dyDescent="0.3">
      <c r="A47" s="34" t="s">
        <v>147</v>
      </c>
      <c r="B47" s="35">
        <v>62246</v>
      </c>
      <c r="C47" s="35">
        <v>92848</v>
      </c>
      <c r="D47" s="35">
        <v>48299</v>
      </c>
      <c r="E47" s="35">
        <v>83992</v>
      </c>
      <c r="F47" s="35">
        <v>143852</v>
      </c>
    </row>
    <row r="48" spans="1:6" s="31" customFormat="1" ht="15" customHeight="1" x14ac:dyDescent="0.3">
      <c r="A48" s="34" t="s">
        <v>148</v>
      </c>
      <c r="B48" s="35">
        <v>0</v>
      </c>
      <c r="C48" s="35">
        <v>292967</v>
      </c>
      <c r="D48" s="35">
        <v>-57916</v>
      </c>
      <c r="E48" s="35">
        <v>-66785</v>
      </c>
      <c r="F48" s="35">
        <v>-93396</v>
      </c>
    </row>
    <row r="49" spans="1:6" s="31" customFormat="1" ht="15" customHeight="1" x14ac:dyDescent="0.3">
      <c r="A49" s="34" t="s">
        <v>149</v>
      </c>
      <c r="B49" s="17">
        <v>62246</v>
      </c>
      <c r="C49" s="17">
        <v>385815</v>
      </c>
      <c r="D49" s="17">
        <v>-9617</v>
      </c>
      <c r="E49" s="17">
        <v>17207</v>
      </c>
      <c r="F49" s="17">
        <v>50456</v>
      </c>
    </row>
    <row r="50" spans="1:6" s="31" customFormat="1" ht="15" customHeight="1" x14ac:dyDescent="0.3">
      <c r="A50" s="32" t="s">
        <v>168</v>
      </c>
      <c r="B50" s="35">
        <v>916022</v>
      </c>
      <c r="C50" s="35">
        <v>701157</v>
      </c>
      <c r="D50" s="35">
        <v>630968</v>
      </c>
      <c r="E50" s="35">
        <v>766701</v>
      </c>
      <c r="F50" s="35">
        <v>1080620</v>
      </c>
    </row>
    <row r="51" spans="1:6" s="31" customFormat="1" ht="6.75" customHeight="1" x14ac:dyDescent="0.3">
      <c r="A51" s="32"/>
      <c r="B51" s="30"/>
      <c r="C51" s="30"/>
      <c r="D51" s="30"/>
      <c r="E51" s="30"/>
      <c r="F51" s="30"/>
    </row>
    <row r="52" spans="1:6" s="31" customFormat="1" ht="15" customHeight="1" x14ac:dyDescent="0.3">
      <c r="A52" s="6" t="s">
        <v>27</v>
      </c>
      <c r="B52" s="30"/>
      <c r="C52" s="30"/>
      <c r="D52" s="30"/>
      <c r="E52" s="30"/>
      <c r="F52" s="30"/>
    </row>
    <row r="53" spans="1:6" s="31" customFormat="1" ht="15" customHeight="1" x14ac:dyDescent="0.3">
      <c r="A53" s="25" t="s">
        <v>169</v>
      </c>
      <c r="B53" s="20" t="s">
        <v>170</v>
      </c>
      <c r="C53" s="20" t="s">
        <v>171</v>
      </c>
      <c r="D53" s="20" t="s">
        <v>172</v>
      </c>
      <c r="E53" s="20" t="s">
        <v>173</v>
      </c>
      <c r="F53" s="20" t="s">
        <v>174</v>
      </c>
    </row>
    <row r="54" spans="1:6" s="31" customFormat="1" ht="15" customHeight="1" x14ac:dyDescent="0.3">
      <c r="A54" s="25" t="s">
        <v>175</v>
      </c>
      <c r="B54" s="20" t="s">
        <v>176</v>
      </c>
      <c r="C54" s="20" t="s">
        <v>177</v>
      </c>
      <c r="D54" s="20" t="s">
        <v>178</v>
      </c>
      <c r="E54" s="20" t="s">
        <v>179</v>
      </c>
      <c r="F54" s="20" t="s">
        <v>180</v>
      </c>
    </row>
    <row r="55" spans="1:6" s="31" customFormat="1" ht="15" customHeight="1" x14ac:dyDescent="0.3">
      <c r="A55" s="25" t="s">
        <v>181</v>
      </c>
      <c r="B55" s="29" t="s">
        <v>182</v>
      </c>
      <c r="C55" s="29" t="s">
        <v>183</v>
      </c>
      <c r="D55" s="29" t="s">
        <v>184</v>
      </c>
      <c r="E55" s="29" t="s">
        <v>185</v>
      </c>
      <c r="F55" s="20" t="s">
        <v>186</v>
      </c>
    </row>
    <row r="56" spans="1:6" s="31" customFormat="1" ht="23" x14ac:dyDescent="0.3">
      <c r="A56" s="38" t="s">
        <v>187</v>
      </c>
      <c r="B56" s="20" t="s">
        <v>188</v>
      </c>
      <c r="C56" s="20" t="s">
        <v>189</v>
      </c>
      <c r="D56" s="20" t="s">
        <v>190</v>
      </c>
      <c r="E56" s="20" t="s">
        <v>191</v>
      </c>
      <c r="F56" s="20" t="s">
        <v>192</v>
      </c>
    </row>
    <row r="57" spans="1:6" s="31" customFormat="1" ht="23" x14ac:dyDescent="0.3">
      <c r="A57" s="38" t="s">
        <v>193</v>
      </c>
      <c r="B57" s="20" t="s">
        <v>194</v>
      </c>
      <c r="C57" s="20" t="s">
        <v>195</v>
      </c>
      <c r="D57" s="20" t="s">
        <v>196</v>
      </c>
      <c r="E57" s="20" t="s">
        <v>197</v>
      </c>
      <c r="F57" s="20" t="s">
        <v>194</v>
      </c>
    </row>
    <row r="58" spans="1:6" s="31" customFormat="1" ht="23" x14ac:dyDescent="0.3">
      <c r="A58" s="38" t="s">
        <v>198</v>
      </c>
      <c r="B58" s="20" t="s">
        <v>199</v>
      </c>
      <c r="C58" s="20" t="s">
        <v>200</v>
      </c>
      <c r="D58" s="20" t="s">
        <v>201</v>
      </c>
      <c r="E58" s="20" t="s">
        <v>202</v>
      </c>
      <c r="F58" s="20" t="s">
        <v>203</v>
      </c>
    </row>
    <row r="59" spans="1:6" s="31" customFormat="1" ht="15" customHeight="1" x14ac:dyDescent="0.3">
      <c r="A59" s="25" t="s">
        <v>204</v>
      </c>
      <c r="B59" s="20" t="s">
        <v>205</v>
      </c>
      <c r="C59" s="20" t="s">
        <v>206</v>
      </c>
      <c r="D59" s="20" t="s">
        <v>207</v>
      </c>
      <c r="E59" s="20" t="s">
        <v>208</v>
      </c>
      <c r="F59" s="20" t="s">
        <v>209</v>
      </c>
    </row>
    <row r="60" spans="1:6" s="31" customFormat="1" ht="6.75" customHeight="1" x14ac:dyDescent="0.3">
      <c r="A60" s="32"/>
      <c r="B60" s="30"/>
      <c r="C60" s="30"/>
      <c r="D60" s="30"/>
      <c r="E60" s="30"/>
      <c r="F60" s="30"/>
    </row>
    <row r="61" spans="1:6" s="31" customFormat="1" ht="15" customHeight="1" x14ac:dyDescent="0.3">
      <c r="A61" s="43" t="s">
        <v>33</v>
      </c>
      <c r="B61" s="30"/>
      <c r="C61" s="30"/>
      <c r="D61" s="30"/>
      <c r="E61" s="30"/>
      <c r="F61" s="30"/>
    </row>
    <row r="62" spans="1:6" s="31" customFormat="1" ht="15" customHeight="1" x14ac:dyDescent="0.3">
      <c r="A62" s="41" t="s">
        <v>34</v>
      </c>
      <c r="B62" s="29"/>
      <c r="C62" s="29" t="s">
        <v>210</v>
      </c>
      <c r="D62" s="20" t="s">
        <v>211</v>
      </c>
      <c r="E62" s="20" t="s">
        <v>212</v>
      </c>
      <c r="F62" s="20" t="s">
        <v>213</v>
      </c>
    </row>
    <row r="63" spans="1:6" s="31" customFormat="1" ht="15" customHeight="1" x14ac:dyDescent="0.3">
      <c r="A63" s="45" t="s">
        <v>214</v>
      </c>
      <c r="B63" s="30"/>
      <c r="C63" s="29"/>
      <c r="D63" s="20"/>
      <c r="E63" s="20"/>
      <c r="F63" s="20"/>
    </row>
    <row r="64" spans="1:6" s="31" customFormat="1" ht="20" x14ac:dyDescent="0.3">
      <c r="A64" s="45" t="s">
        <v>215</v>
      </c>
      <c r="B64" s="30"/>
      <c r="C64" s="29"/>
      <c r="D64" s="20"/>
      <c r="E64" s="20"/>
      <c r="F64" s="20"/>
    </row>
    <row r="65" spans="1:6" s="31" customFormat="1" ht="15" customHeight="1" x14ac:dyDescent="0.3">
      <c r="A65" s="45" t="s">
        <v>216</v>
      </c>
      <c r="B65" s="30"/>
      <c r="C65" s="29"/>
      <c r="D65" s="20"/>
      <c r="E65" s="20"/>
      <c r="F65" s="20"/>
    </row>
    <row r="66" spans="1:6" s="31" customFormat="1" ht="15" customHeight="1" x14ac:dyDescent="0.3">
      <c r="A66" s="42" t="s">
        <v>37</v>
      </c>
      <c r="B66" s="20" t="s">
        <v>217</v>
      </c>
      <c r="C66" s="20" t="s">
        <v>218</v>
      </c>
      <c r="D66" s="20" t="s">
        <v>219</v>
      </c>
      <c r="E66" s="20" t="s">
        <v>219</v>
      </c>
      <c r="F66" s="20" t="s">
        <v>220</v>
      </c>
    </row>
    <row r="67" spans="1:6" s="31" customFormat="1" ht="15" customHeight="1" x14ac:dyDescent="0.3">
      <c r="A67" s="42" t="s">
        <v>221</v>
      </c>
      <c r="B67" s="20" t="s">
        <v>222</v>
      </c>
      <c r="C67" s="20" t="s">
        <v>223</v>
      </c>
      <c r="D67" s="20" t="s">
        <v>224</v>
      </c>
      <c r="E67" s="20" t="s">
        <v>225</v>
      </c>
      <c r="F67" s="20" t="s">
        <v>226</v>
      </c>
    </row>
    <row r="68" spans="1:6" s="31" customFormat="1" ht="15" customHeight="1" x14ac:dyDescent="0.3">
      <c r="A68" s="42" t="s">
        <v>39</v>
      </c>
      <c r="B68" s="20" t="s">
        <v>227</v>
      </c>
      <c r="C68" s="20" t="s">
        <v>227</v>
      </c>
      <c r="D68" s="20" t="s">
        <v>227</v>
      </c>
      <c r="E68" s="20" t="s">
        <v>228</v>
      </c>
      <c r="F68" s="20" t="s">
        <v>228</v>
      </c>
    </row>
    <row r="69" spans="1:6" s="31" customFormat="1" ht="15" customHeight="1" x14ac:dyDescent="0.3">
      <c r="A69" s="42" t="s">
        <v>229</v>
      </c>
      <c r="B69" s="20" t="s">
        <v>230</v>
      </c>
      <c r="C69" s="20" t="s">
        <v>231</v>
      </c>
      <c r="D69" s="20" t="s">
        <v>232</v>
      </c>
      <c r="E69" s="20" t="s">
        <v>233</v>
      </c>
      <c r="F69" s="20" t="s">
        <v>234</v>
      </c>
    </row>
    <row r="70" spans="1:6" s="31" customFormat="1" ht="6.75" customHeight="1" x14ac:dyDescent="0.3">
      <c r="A70" s="6"/>
      <c r="B70" s="30"/>
      <c r="C70" s="30"/>
      <c r="D70" s="30"/>
      <c r="E70" s="30"/>
      <c r="F70" s="30"/>
    </row>
    <row r="71" spans="1:6" s="31" customFormat="1" ht="15" customHeight="1" x14ac:dyDescent="0.3">
      <c r="A71" s="43" t="s">
        <v>41</v>
      </c>
      <c r="B71" s="30"/>
      <c r="C71" s="30"/>
      <c r="D71" s="30"/>
      <c r="E71" s="30"/>
      <c r="F71" s="30"/>
    </row>
    <row r="72" spans="1:6" s="31" customFormat="1" ht="15" customHeight="1" x14ac:dyDescent="0.3">
      <c r="A72" s="47" t="s">
        <v>235</v>
      </c>
      <c r="B72" s="35">
        <v>191216</v>
      </c>
      <c r="C72" s="35">
        <v>148580</v>
      </c>
      <c r="D72" s="35"/>
      <c r="E72" s="35"/>
      <c r="F72" s="35"/>
    </row>
    <row r="73" spans="1:6" s="31" customFormat="1" ht="15" customHeight="1" x14ac:dyDescent="0.3">
      <c r="A73" s="44" t="s">
        <v>236</v>
      </c>
      <c r="B73" s="35">
        <v>-76206</v>
      </c>
      <c r="C73" s="35">
        <v>-31103</v>
      </c>
      <c r="D73" s="35"/>
      <c r="E73" s="35"/>
      <c r="F73" s="35"/>
    </row>
    <row r="74" spans="1:6" s="31" customFormat="1" ht="15" customHeight="1" x14ac:dyDescent="0.3">
      <c r="A74" s="44" t="s">
        <v>237</v>
      </c>
      <c r="B74" s="35">
        <v>-182697</v>
      </c>
      <c r="C74" s="35">
        <v>-173042</v>
      </c>
      <c r="D74" s="35"/>
      <c r="E74" s="35"/>
      <c r="F74" s="35"/>
    </row>
    <row r="75" spans="1:6" s="31" customFormat="1" ht="15" customHeight="1" x14ac:dyDescent="0.3">
      <c r="A75" s="44" t="s">
        <v>238</v>
      </c>
      <c r="B75" s="35">
        <v>-67887</v>
      </c>
      <c r="C75" s="35"/>
      <c r="D75" s="35"/>
      <c r="E75" s="35"/>
      <c r="F75" s="35"/>
    </row>
    <row r="76" spans="1:6" s="31" customFormat="1" ht="15" customHeight="1" x14ac:dyDescent="0.3">
      <c r="A76" s="44" t="s">
        <v>239</v>
      </c>
      <c r="B76" s="35"/>
      <c r="C76" s="35"/>
      <c r="D76" s="35"/>
      <c r="E76" s="35"/>
      <c r="F76" s="35"/>
    </row>
    <row r="77" spans="1:6" s="31" customFormat="1" ht="6.75" customHeight="1" x14ac:dyDescent="0.3">
      <c r="A77" s="6"/>
      <c r="B77" s="30"/>
      <c r="C77" s="30"/>
      <c r="D77" s="30"/>
      <c r="E77" s="30"/>
      <c r="F77" s="30"/>
    </row>
    <row r="78" spans="1:6" s="31" customFormat="1" ht="15" customHeight="1" x14ac:dyDescent="0.3">
      <c r="A78" s="6" t="s">
        <v>42</v>
      </c>
      <c r="B78" s="30"/>
      <c r="C78" s="30"/>
      <c r="D78" s="30"/>
      <c r="E78" s="30"/>
      <c r="F78" s="30"/>
    </row>
    <row r="79" spans="1:6" s="31" customFormat="1" ht="15" customHeight="1" x14ac:dyDescent="0.3">
      <c r="A79" s="25" t="s">
        <v>43</v>
      </c>
      <c r="B79" s="30">
        <v>527</v>
      </c>
      <c r="C79" s="20">
        <v>500</v>
      </c>
      <c r="D79" s="20">
        <v>496</v>
      </c>
      <c r="E79" s="20">
        <v>484</v>
      </c>
      <c r="F79" s="20">
        <v>448</v>
      </c>
    </row>
    <row r="80" spans="1:6" s="31" customFormat="1" ht="15" customHeight="1" x14ac:dyDescent="0.3">
      <c r="A80" s="25" t="s">
        <v>44</v>
      </c>
      <c r="B80" s="30">
        <v>528</v>
      </c>
      <c r="C80" s="20">
        <v>502</v>
      </c>
      <c r="D80" s="20">
        <v>500</v>
      </c>
      <c r="E80" s="20">
        <v>497</v>
      </c>
      <c r="F80" s="20">
        <v>483</v>
      </c>
    </row>
    <row r="81" spans="1:6" s="31" customFormat="1" ht="15" customHeight="1" x14ac:dyDescent="0.3">
      <c r="A81" s="16" t="s">
        <v>45</v>
      </c>
      <c r="B81" s="20" t="s">
        <v>240</v>
      </c>
      <c r="C81" s="20" t="s">
        <v>240</v>
      </c>
      <c r="D81" s="20" t="s">
        <v>240</v>
      </c>
      <c r="E81" s="20" t="s">
        <v>240</v>
      </c>
      <c r="F81" s="20" t="s">
        <v>241</v>
      </c>
    </row>
    <row r="82" spans="1:6" s="31" customFormat="1" ht="15" customHeight="1" x14ac:dyDescent="0.3">
      <c r="A82" s="16" t="s">
        <v>242</v>
      </c>
      <c r="B82" s="29" t="s">
        <v>243</v>
      </c>
      <c r="C82" s="29" t="s">
        <v>243</v>
      </c>
      <c r="D82" s="29" t="s">
        <v>243</v>
      </c>
      <c r="E82" s="29" t="s">
        <v>243</v>
      </c>
      <c r="F82" s="20" t="s">
        <v>244</v>
      </c>
    </row>
    <row r="83" spans="1:6" s="31" customFormat="1" ht="6.75" customHeight="1" x14ac:dyDescent="0.3">
      <c r="A83" s="6"/>
      <c r="B83" s="30"/>
      <c r="C83" s="30"/>
      <c r="D83" s="30"/>
      <c r="E83" s="30"/>
      <c r="F83" s="30"/>
    </row>
    <row r="84" spans="1:6" s="31" customFormat="1" ht="15" customHeight="1" x14ac:dyDescent="0.3">
      <c r="A84" s="6" t="s">
        <v>46</v>
      </c>
      <c r="B84" s="30"/>
      <c r="C84" s="30"/>
      <c r="D84" s="30"/>
      <c r="E84" s="30"/>
      <c r="F84" s="30"/>
    </row>
    <row r="85" spans="1:6" s="31" customFormat="1" ht="15" customHeight="1" x14ac:dyDescent="0.3">
      <c r="A85" s="26" t="s">
        <v>49</v>
      </c>
      <c r="B85" s="20" t="s">
        <v>245</v>
      </c>
      <c r="C85" s="20" t="s">
        <v>246</v>
      </c>
      <c r="D85" s="20" t="s">
        <v>247</v>
      </c>
      <c r="E85" s="20" t="s">
        <v>248</v>
      </c>
      <c r="F85" s="37" t="s">
        <v>249</v>
      </c>
    </row>
    <row r="86" spans="1:6" s="31" customFormat="1" ht="15" customHeight="1" x14ac:dyDescent="0.3">
      <c r="A86" s="26" t="s">
        <v>250</v>
      </c>
      <c r="B86" s="27" t="s">
        <v>251</v>
      </c>
      <c r="C86" s="27" t="s">
        <v>252</v>
      </c>
      <c r="D86" s="27" t="s">
        <v>253</v>
      </c>
      <c r="E86" s="27" t="s">
        <v>254</v>
      </c>
      <c r="F86" s="27" t="s">
        <v>255</v>
      </c>
    </row>
    <row r="87" spans="1:6" s="31" customFormat="1" ht="15" customHeight="1" x14ac:dyDescent="0.3">
      <c r="A87" s="26" t="s">
        <v>256</v>
      </c>
      <c r="B87" s="36"/>
      <c r="C87" s="36" t="s">
        <v>257</v>
      </c>
      <c r="D87" s="36" t="s">
        <v>257</v>
      </c>
      <c r="E87" s="27">
        <v>0</v>
      </c>
      <c r="F87" s="27">
        <v>0</v>
      </c>
    </row>
    <row r="88" spans="1:6" s="31" customFormat="1" ht="15" customHeight="1" x14ac:dyDescent="0.3">
      <c r="A88" s="26" t="s">
        <v>48</v>
      </c>
      <c r="B88" s="27"/>
      <c r="C88" s="27" t="s">
        <v>194</v>
      </c>
      <c r="D88" s="27" t="s">
        <v>258</v>
      </c>
      <c r="E88" s="27">
        <v>0</v>
      </c>
      <c r="F88" s="20">
        <v>0</v>
      </c>
    </row>
    <row r="89" spans="1:6" s="31" customFormat="1" ht="15" customHeight="1" x14ac:dyDescent="0.3">
      <c r="A89" s="26" t="s">
        <v>51</v>
      </c>
      <c r="B89" s="27" t="s">
        <v>259</v>
      </c>
      <c r="C89" s="27" t="s">
        <v>260</v>
      </c>
      <c r="D89" s="27" t="s">
        <v>261</v>
      </c>
      <c r="E89" s="27" t="s">
        <v>262</v>
      </c>
      <c r="F89" s="27" t="s">
        <v>263</v>
      </c>
    </row>
    <row r="90" spans="1:6" s="31" customFormat="1" ht="15" customHeight="1" x14ac:dyDescent="0.3">
      <c r="A90" s="26" t="s">
        <v>264</v>
      </c>
      <c r="B90" s="20" t="s">
        <v>265</v>
      </c>
      <c r="C90" s="20" t="s">
        <v>266</v>
      </c>
      <c r="D90" s="20" t="s">
        <v>267</v>
      </c>
      <c r="E90" s="20" t="s">
        <v>268</v>
      </c>
      <c r="F90" s="20" t="s">
        <v>269</v>
      </c>
    </row>
    <row r="91" spans="1:6" s="31" customFormat="1" ht="15" customHeight="1" x14ac:dyDescent="0.3">
      <c r="A91" s="26" t="s">
        <v>270</v>
      </c>
      <c r="B91" s="20" t="s">
        <v>271</v>
      </c>
      <c r="C91" s="20" t="s">
        <v>272</v>
      </c>
      <c r="D91" s="20" t="s">
        <v>254</v>
      </c>
      <c r="E91" s="20" t="s">
        <v>273</v>
      </c>
      <c r="F91" s="20" t="s">
        <v>274</v>
      </c>
    </row>
    <row r="92" spans="1:6" s="31" customFormat="1" ht="23" x14ac:dyDescent="0.3">
      <c r="A92" s="26" t="s">
        <v>275</v>
      </c>
      <c r="B92" s="20" t="s">
        <v>271</v>
      </c>
      <c r="C92" s="20" t="s">
        <v>276</v>
      </c>
      <c r="D92" s="37" t="s">
        <v>277</v>
      </c>
      <c r="E92" s="20" t="s">
        <v>278</v>
      </c>
      <c r="F92" s="20" t="s">
        <v>279</v>
      </c>
    </row>
    <row r="93" spans="1:6" s="31" customFormat="1" ht="15" customHeight="1" x14ac:dyDescent="0.3">
      <c r="A93" s="26" t="s">
        <v>280</v>
      </c>
      <c r="B93" s="20" t="s">
        <v>281</v>
      </c>
      <c r="C93" s="20" t="s">
        <v>282</v>
      </c>
      <c r="D93" s="20" t="s">
        <v>283</v>
      </c>
      <c r="E93" s="20" t="s">
        <v>284</v>
      </c>
      <c r="F93" s="20" t="s">
        <v>285</v>
      </c>
    </row>
    <row r="94" spans="1:6" s="31" customFormat="1" ht="25" x14ac:dyDescent="0.3">
      <c r="A94" s="26" t="s">
        <v>286</v>
      </c>
      <c r="B94" s="20" t="s">
        <v>281</v>
      </c>
      <c r="C94" s="20" t="s">
        <v>287</v>
      </c>
      <c r="D94" s="20" t="s">
        <v>288</v>
      </c>
      <c r="E94" s="20" t="s">
        <v>289</v>
      </c>
      <c r="F94" s="20" t="s">
        <v>246</v>
      </c>
    </row>
    <row r="95" spans="1:6" s="31" customFormat="1" ht="15" customHeight="1" x14ac:dyDescent="0.3">
      <c r="A95" s="26" t="s">
        <v>290</v>
      </c>
      <c r="B95" s="35">
        <v>37094978</v>
      </c>
      <c r="C95" s="27" t="s">
        <v>291</v>
      </c>
      <c r="D95" s="27" t="s">
        <v>291</v>
      </c>
      <c r="E95" s="27" t="s">
        <v>291</v>
      </c>
      <c r="F95" s="27" t="s">
        <v>291</v>
      </c>
    </row>
    <row r="96" spans="1:6" s="31" customFormat="1" ht="15" customHeight="1" x14ac:dyDescent="0.3">
      <c r="A96" s="26" t="s">
        <v>54</v>
      </c>
      <c r="B96" s="35">
        <v>37052830</v>
      </c>
      <c r="C96" s="20" t="s">
        <v>291</v>
      </c>
      <c r="D96" s="27" t="s">
        <v>291</v>
      </c>
      <c r="E96" s="27" t="s">
        <v>291</v>
      </c>
      <c r="F96" s="27" t="s">
        <v>291</v>
      </c>
    </row>
    <row r="97" spans="1:6" s="31" customFormat="1" ht="15" customHeight="1" x14ac:dyDescent="0.3">
      <c r="A97" s="26" t="s">
        <v>55</v>
      </c>
      <c r="B97" s="36" t="s">
        <v>292</v>
      </c>
      <c r="C97" s="36">
        <v>43</v>
      </c>
      <c r="D97" s="36">
        <v>34</v>
      </c>
      <c r="E97" s="27">
        <v>37.299999999999997</v>
      </c>
      <c r="F97" s="27">
        <v>38.799999999999997</v>
      </c>
    </row>
    <row r="98" spans="1:6" s="31" customFormat="1" ht="15" customHeight="1" x14ac:dyDescent="0.3">
      <c r="A98" s="26" t="s">
        <v>56</v>
      </c>
      <c r="B98" s="27" t="s">
        <v>293</v>
      </c>
      <c r="C98" s="27">
        <v>17.100000000000001</v>
      </c>
      <c r="D98" s="36">
        <v>26</v>
      </c>
      <c r="E98" s="27">
        <v>16.399999999999999</v>
      </c>
      <c r="F98" s="27">
        <v>9.9</v>
      </c>
    </row>
    <row r="99" spans="1:6" s="31" customFormat="1" ht="15" customHeight="1" x14ac:dyDescent="0.3">
      <c r="A99" s="26"/>
      <c r="B99" s="30"/>
      <c r="C99" s="27"/>
      <c r="D99" s="36"/>
      <c r="E99" s="27"/>
      <c r="F99" s="27"/>
    </row>
    <row r="100" spans="1:6" s="31" customFormat="1" ht="15" customHeight="1" x14ac:dyDescent="0.3">
      <c r="A100" s="26"/>
      <c r="B100" s="30"/>
      <c r="C100" s="27"/>
      <c r="D100" s="36"/>
      <c r="E100" s="27"/>
      <c r="F100" s="27"/>
    </row>
    <row r="101" spans="1:6" s="31" customFormat="1" ht="12.75" customHeight="1" x14ac:dyDescent="0.35">
      <c r="A101" s="7"/>
      <c r="B101"/>
      <c r="C101"/>
      <c r="D101"/>
      <c r="E101"/>
      <c r="F101"/>
    </row>
    <row r="106" spans="1:6" x14ac:dyDescent="0.35">
      <c r="A106" s="8"/>
    </row>
  </sheetData>
  <pageMargins left="0.62992125984251968" right="0.62992125984251968" top="0.74803149606299213" bottom="0.74803149606299213" header="0.31496062992125984" footer="0.31496062992125984"/>
  <pageSetup paperSize="9" orientation="portrait" r:id="rId1"/>
  <rowBreaks count="1" manualBreakCount="1">
    <brk id="5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E567168133F54182E819F712A95081" ma:contentTypeVersion="16" ma:contentTypeDescription="Skapa ett nytt dokument." ma:contentTypeScope="" ma:versionID="1649463474d338478688cfe22116b1ca">
  <xsd:schema xmlns:xsd="http://www.w3.org/2001/XMLSchema" xmlns:xs="http://www.w3.org/2001/XMLSchema" xmlns:p="http://schemas.microsoft.com/office/2006/metadata/properties" xmlns:ns2="81f1f58e-ff30-4067-aac8-aefd6690a08a" xmlns:ns3="9d86c93c-2b3f-4a3a-a578-2e923b20f24d" targetNamespace="http://schemas.microsoft.com/office/2006/metadata/properties" ma:root="true" ma:fieldsID="4e0b6941d06fb4b6cd2687fe6533f720" ns2:_="" ns3:_="">
    <xsd:import namespace="81f1f58e-ff30-4067-aac8-aefd6690a08a"/>
    <xsd:import namespace="9d86c93c-2b3f-4a3a-a578-2e923b20f2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1f58e-ff30-4067-aac8-aefd6690a0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0fde8be9-2002-4270-82a4-5fd42799c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6c93c-2b3f-4a3a-a578-2e923b20f24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98e53b-bb0c-4fa1-b63a-04c379c4460c}" ma:internalName="TaxCatchAll" ma:showField="CatchAllData" ma:web="9d86c93c-2b3f-4a3a-a578-2e923b20f2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f1f58e-ff30-4067-aac8-aefd6690a08a">
      <Terms xmlns="http://schemas.microsoft.com/office/infopath/2007/PartnerControls"/>
    </lcf76f155ced4ddcb4097134ff3c332f>
    <TaxCatchAll xmlns="9d86c93c-2b3f-4a3a-a578-2e923b20f24d" xsi:nil="true"/>
  </documentManagement>
</p:properties>
</file>

<file path=customXml/itemProps1.xml><?xml version="1.0" encoding="utf-8"?>
<ds:datastoreItem xmlns:ds="http://schemas.openxmlformats.org/officeDocument/2006/customXml" ds:itemID="{58193A07-5E5A-4CDA-ADFB-7BACB455CF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58C6B7-36EA-4120-883C-F0BE6AA32B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f1f58e-ff30-4067-aac8-aefd6690a08a"/>
    <ds:schemaRef ds:uri="9d86c93c-2b3f-4a3a-a578-2e923b20f2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04FBDD-48CC-43DC-AC6D-DB60B8697FAD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81f1f58e-ff30-4067-aac8-aefd6690a08a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9d86c93c-2b3f-4a3a-a578-2e923b20f24d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ef776ce-851e-48c1-9cb2-f5d8498c8b15}" enabled="0" method="" siteId="{9ef776ce-851e-48c1-9cb2-f5d8498c8b1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Key figures by year, the Group</vt:lpstr>
      <vt:lpstr>Q Income statements, the Group</vt:lpstr>
      <vt:lpstr>Q Consolidated cash-flow</vt:lpstr>
      <vt:lpstr>Q Key figures Operating segm.</vt:lpstr>
      <vt:lpstr>Q Sales geographic market</vt:lpstr>
      <vt:lpstr>Fullständig femårsöversikt webb</vt:lpstr>
      <vt:lpstr>'Fullständig femårsöversikt webb'!Print_Area</vt:lpstr>
      <vt:lpstr>'Key figures by year, the Group'!Print_Area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Caspersson</dc:creator>
  <cp:lastModifiedBy>Emma Caspersson</cp:lastModifiedBy>
  <dcterms:created xsi:type="dcterms:W3CDTF">2026-03-06T06:41:35Z</dcterms:created>
  <dcterms:modified xsi:type="dcterms:W3CDTF">2026-06-05T05:42:10Z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0x010100C0E567168133F54182E819F712A95081</vt:lpwstr>
  </property>
  <property fmtid="{D5CDD505-2E9C-101B-9397-08002B2CF9AE}" pid="3" name="MediaServiceImageTags">
    <vt:lpwstr/>
  </property>
</Properties>
</file>